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650" tabRatio="907" activeTab="3"/>
  </bookViews>
  <sheets>
    <sheet name="清单编制说明" sheetId="22" r:id="rId1"/>
    <sheet name="控制价汇总表" sheetId="21" r:id="rId2"/>
    <sheet name="客房汇总表" sheetId="2" r:id="rId3"/>
    <sheet name="办公室A（六人间）" sheetId="3" r:id="rId4"/>
    <sheet name="办公室B（大床房）" sheetId="4" r:id="rId5"/>
    <sheet name="办公室B 1(双床房）" sheetId="5" r:id="rId6"/>
    <sheet name="办公室C（大单间）" sheetId="6" r:id="rId7"/>
    <sheet name="办公室D（行政套房）" sheetId="7" r:id="rId8"/>
    <sheet name="办公室E（四人间套间）" sheetId="8" r:id="rId9"/>
    <sheet name="汇总表（工区）" sheetId="9" r:id="rId10"/>
    <sheet name="4#大堂" sheetId="10" r:id="rId11"/>
    <sheet name="5#大堂" sheetId="11" r:id="rId12"/>
    <sheet name="5#共享空间" sheetId="12" r:id="rId13"/>
    <sheet name="6#大堂" sheetId="13" r:id="rId14"/>
    <sheet name="后勤办公室" sheetId="14" r:id="rId15"/>
    <sheet name="值班室" sheetId="15" r:id="rId16"/>
    <sheet name="储存间" sheetId="16" r:id="rId17"/>
    <sheet name="布草间" sheetId="17" r:id="rId18"/>
    <sheet name="公共洗衣房" sheetId="18" r:id="rId19"/>
    <sheet name="电器" sheetId="19" r:id="rId20"/>
    <sheet name="健身器材" sheetId="20" r:id="rId21"/>
  </sheets>
  <externalReferences>
    <externalReference r:id="rId22"/>
  </externalReferences>
  <definedNames>
    <definedName name="_xlnm._FilterDatabase" localSheetId="3" hidden="1">'办公室A（六人间）'!$A$4:$L$16</definedName>
    <definedName name="_xlnm._FilterDatabase" localSheetId="4" hidden="1">'办公室B（大床房）'!$A$4:$L$19</definedName>
    <definedName name="_xlnm._FilterDatabase" localSheetId="5" hidden="1">'办公室B 1(双床房）'!$A$4:$L$19</definedName>
    <definedName name="_xlnm._FilterDatabase" localSheetId="6" hidden="1">'办公室C（大单间）'!$A$4:$L$18</definedName>
    <definedName name="_xlnm._FilterDatabase" localSheetId="7" hidden="1">'办公室D（行政套房）'!$A$4:$L$22</definedName>
    <definedName name="_xlnm._FilterDatabase" localSheetId="8" hidden="1">'办公室E（四人间套间）'!$A$4:$P$19</definedName>
    <definedName name="_xlnm._FilterDatabase" localSheetId="19" hidden="1">电器!$A$4:$K$10</definedName>
    <definedName name="_xlnm._FilterDatabase" localSheetId="20" hidden="1">健身器材!$A$4:$K$8</definedName>
    <definedName name="__IU66720">'[1]安装工程（总平）'!#REF!</definedName>
    <definedName name="_xlnm.Print_Area" localSheetId="2">客房汇总表!$A$1:$E$11</definedName>
    <definedName name="_xlnm.Print_Area" localSheetId="3">'办公室A（六人间）'!$A$1:$L$16</definedName>
    <definedName name="_xlnm.Print_Area" localSheetId="4">'办公室B（大床房）'!$A$1:$L$19</definedName>
    <definedName name="_xlnm.Print_Area" localSheetId="5">'办公室B 1(双床房）'!$A$1:$L$19</definedName>
    <definedName name="_xlnm.Print_Area" localSheetId="6">'办公室C（大单间）'!$A$1:$L$18</definedName>
    <definedName name="_xlnm.Print_Area" localSheetId="7">'办公室D（行政套房）'!$A$1:$L$22</definedName>
    <definedName name="_xlnm.Print_Area" localSheetId="8">'办公室E（四人间套间）'!$A$1:$L$19</definedName>
    <definedName name="_xlnm.Print_Area" localSheetId="9">'汇总表（工区）'!$A$1:$D$15</definedName>
    <definedName name="_xlnm.Print_Area" localSheetId="10">'4#大堂'!$A$1:$K$15</definedName>
    <definedName name="_xlnm.Print_Area" localSheetId="11">'5#大堂'!$A$1:$K$14</definedName>
    <definedName name="_xlnm.Print_Area" localSheetId="12">'5#共享空间'!$A$1:$K$7</definedName>
    <definedName name="_xlnm.Print_Area" localSheetId="13">'6#大堂'!$A$1:$K$14</definedName>
    <definedName name="_xlnm.Print_Area" localSheetId="14">后勤办公室!$A$1:$K$7</definedName>
    <definedName name="_xlnm.Print_Area" localSheetId="15">值班室!$A$1:$K$10</definedName>
    <definedName name="_xlnm.Print_Area" localSheetId="16">储存间!$A$1:$K$8</definedName>
    <definedName name="_xlnm.Print_Area" localSheetId="17">布草间!$A$1:$K$8</definedName>
    <definedName name="_xlnm.Print_Area" localSheetId="18">公共洗衣房!$A$1:$K$8</definedName>
    <definedName name="_xlnm.Print_Area" localSheetId="19">电器!$A$1:$K$10</definedName>
    <definedName name="_xlnm.Print_Area" localSheetId="20">健身器材!$A$1:$K$8</definedName>
    <definedName name="_xlnm.Print_Area" localSheetId="1">控制价汇总表!$A$1:$E$22</definedName>
  </definedNames>
  <calcPr calcId="144525"/>
</workbook>
</file>

<file path=xl/sharedStrings.xml><?xml version="1.0" encoding="utf-8"?>
<sst xmlns="http://schemas.openxmlformats.org/spreadsheetml/2006/main" count="1314" uniqueCount="296">
  <si>
    <t>编制说明</t>
  </si>
  <si>
    <t>投标人在提交清单前，均应对本招标项目技术说明、招标文件、合同条件等情况已详细阅读，并按文件约定执行，投标报价中已按招标文件及合同条款、质量标准、工期等要求充分考虑了人工、材料、包装运输、安装、检验、验收、样品、管理、利润、增值税及附加的其它税金、费用等因素，保证投标价准确无误，如发生报价失误等问题由投标单位承担一切责任。</t>
  </si>
  <si>
    <t>本次招标清单中增值税税率统一执行13%。国家规定附加税（如城市维护建设税、教育费附加、地方教育附加）投标人综合考虑在不含税投标报价中，招标人不再另行支付，投标人一旦中标，后期不得以附加税不同为由索赔额外费用。</t>
  </si>
  <si>
    <t>投标报价税价分离，以不含税价为准，若国家税率变动，含税价款按此业务纳税义务发生的时间分段做相应调整。例如：1、某单品不含税金额1000元，增值税率按照13%计取，则含税价1130元；协议期间国家发布增值税调整政策，增值税率调减到12%，则含税价相应调整为1120元，不含税价不变。</t>
  </si>
  <si>
    <t>投标报价综合考虑在协议有效期内可能发生的原材料、人工、机械、市场、运输等变化因素，在协议有效期内，原则上报价不调整。除非合同条款中另有规定，否则，投标人所报价格在合同实施期间不因市场变化因素而变动且结算时均不予调整。（根据招标情况，若存在材料调差的，需进行调整）</t>
  </si>
  <si>
    <t>本清单综合单价包含产品供应、运输、安装、质保等，包含但不限于以下工作内容：所订产品的深化设计、打样、封样、制作、供应、包装、运输（含保险费）、装卸货、税金、安装等费用。</t>
  </si>
  <si>
    <t>未单独列项的费用，包括但不限于垂直运输、材料二次转运、场地使用费、停车费、赶工、窝工、夜间施工、冬雨季施工增加、二次深化设计、施工用水电接驳等，投标人为完成合同约定承包范围所需的所有费用均包含在投标单价中。</t>
  </si>
  <si>
    <t>本清单为综合单价包干，包含但不限于工作界面约定工作内容：
1）投标单位需按产品图片、规格、材质等信息综合填报产品单价；对每项家具进行综合考虑，包括家具成本（材料费、加工费、人工费等）、利润、管理费、抽样检测费、因质量问题引起的维修更换费、税费、运输费、安装费等所有费用；
2）运输、安装费：运输费包含从生产厂装车、运输、装卸费、搬运到甲方指定仓储地点以及运输保险、管理费、利润和各项税费（不含增值税）等费用；安装费包含现场搬运费（包括上楼费）、现场安装制作费、技术指导和培训费及完工后清理包装垃圾等一切费用。投标单位需综合考虑上述费用至产品单价中，不做单独报价。
3）检测费：包含验收需通过的国家或项目所在地政策法规所要求的检测费用。超过上述检验要求的，如果检验合格，费用由招标人承担，如果检测不合格则须进行复检，无论复检是否合格，检测费用均由投标人承担，若复检仍不合格，产品需退场更换且招标人保留进一步追索权利。
4）沙发、床、桌、椅等表面为PU皮、布、油漆、饰面纸的产品，颜色以最终打样为准；招标人可以根据设计要求调整颜色，价格不作调整；
5）招标人有权要求实际供货产品尺寸在投标尺寸上做细微调整，实际供货产品尺寸在招标建议尺寸的±5%偏差范围内价格不变。</t>
  </si>
  <si>
    <t>样板：在供货前，需方有权要求供方提供样板，供方须予以配合。</t>
  </si>
  <si>
    <t>投标人应考虑现场等实际情况(如：运输条件、施工场地等)；投标人也应深入理解技术要求和验收要求，所有在招标时提供的文件均认为已完整无误包含在单价之中。</t>
  </si>
  <si>
    <t>本清单示例图片作为报价参考的依据，具体实际的产品效果以实际送样为准，送样产品其尺寸、效果、功能必须满足招标人的要求。</t>
  </si>
  <si>
    <t>清单中相同的报价项综合单价应一致,若不一致时,结算时有利于招标人原则进行修正。</t>
  </si>
  <si>
    <t>招标人对投标人的投标报价表计算的价格一致性进行复核，如出现不一致时，将按照有利于招标人原则进行修正，投标人必须无条件接受，否则将按照否决投标处理。</t>
  </si>
  <si>
    <t>对于招标人在招标文件中提供的工程量清单中已有项目，投标人在清单中没有填入单价的，其费用将视为已包括在工程量清单的其他项目的单价中。投标人必须按照招标人指令完成工程量清单中未填入单价的工程项目，但不能得到另外的结算和支付。</t>
  </si>
  <si>
    <t>投标人的投标报价如果出现缺项、漏项或是修改了报价清单中列明项目的数量情况的，招标人应根据具体评标方法和评审标准，按照不利于该投标人的原则进行调整，且投标人不得因此提出任何异议。</t>
  </si>
  <si>
    <t>所有图纸、材料手册如未标明材料名称、品牌型号及规格的主材，在施工前均需发包人确认材料样板。</t>
  </si>
  <si>
    <t>投标总价及投标单价均不得超过招标人公布的投标报价上限，否则其投标报价无效，作否决投标处理。</t>
  </si>
  <si>
    <t>本说明不尽之处详见招标文件。</t>
  </si>
  <si>
    <t>通航青年国际社区项目4至6号楼家具电器采购造价汇总表</t>
  </si>
  <si>
    <t>序号</t>
  </si>
  <si>
    <t>项目名称</t>
  </si>
  <si>
    <t>金额</t>
  </si>
  <si>
    <t>房间数（套）</t>
  </si>
  <si>
    <t>备注</t>
  </si>
  <si>
    <t>办公室A（六人间）</t>
  </si>
  <si>
    <t>办公室B（大床房）</t>
  </si>
  <si>
    <t>办公室B 1(双床房）</t>
  </si>
  <si>
    <t>办公室C（大单间）</t>
  </si>
  <si>
    <t>办公室D（行政套房）</t>
  </si>
  <si>
    <t>办公室E（四人间套间）</t>
  </si>
  <si>
    <t>4#楼大堂</t>
  </si>
  <si>
    <t>5#楼大堂</t>
  </si>
  <si>
    <t>5#共享空间</t>
  </si>
  <si>
    <t>6#楼大堂</t>
  </si>
  <si>
    <t>后勤办公室</t>
  </si>
  <si>
    <t>值班室</t>
  </si>
  <si>
    <t>储存间</t>
  </si>
  <si>
    <t>布草间</t>
  </si>
  <si>
    <t>公共洗衣房</t>
  </si>
  <si>
    <t>电器</t>
  </si>
  <si>
    <t>健身器</t>
  </si>
  <si>
    <t>暂列金含税</t>
  </si>
  <si>
    <t>含税造价合计=（1+2+3+4+5+6+7+8+9+10+11+12+13+14+15+16+17+18）</t>
  </si>
  <si>
    <t>通航青年国际社区项目4至6号楼家具电器采购（客房）造价汇总表</t>
  </si>
  <si>
    <t>含税造价合计=（1+2+3+4+5+6+7）</t>
  </si>
  <si>
    <t>通航青年国际社区项目4至6号楼家具电器采购(客房)数量清单</t>
  </si>
  <si>
    <t>办公室A</t>
  </si>
  <si>
    <t>编号</t>
  </si>
  <si>
    <t>位置</t>
  </si>
  <si>
    <t>产品名称</t>
  </si>
  <si>
    <t>图片</t>
  </si>
  <si>
    <t>规格（mm）</t>
  </si>
  <si>
    <t>材质</t>
  </si>
  <si>
    <t>单位</t>
  </si>
  <si>
    <t>单间数量</t>
  </si>
  <si>
    <t>总数量</t>
  </si>
  <si>
    <t>NO.</t>
  </si>
  <si>
    <t>Area</t>
  </si>
  <si>
    <t>Content</t>
  </si>
  <si>
    <t>Sample picture</t>
  </si>
  <si>
    <t>Main material</t>
  </si>
  <si>
    <t>Unit</t>
  </si>
  <si>
    <t>PCs</t>
  </si>
  <si>
    <t>含税单价</t>
  </si>
  <si>
    <t>含税合价</t>
  </si>
  <si>
    <t>Ps</t>
  </si>
  <si>
    <t>FU-1</t>
  </si>
  <si>
    <t>2人高低床</t>
  </si>
  <si>
    <t>W1900*D1200*H2700mm</t>
  </si>
  <si>
    <t xml:space="preserve">1）床板:采用E0颗粒板,含板条,厚度≥15mm,间隙≤10mm,包含5根30mm*40mm木档支撑,板面腐朽面积不超过材面面积20%,
2)边立柱:钢管,壁厚1.2mm,立柱上下封口采用优质ABS塑料的静音内外塞
3)中立柱:钢管,壁厚1.2mm,立柱上下封口采用优质ABS塑料的静音内外塞
6)爬梯:边管使用钢管,壁厚1.2mm;
7）护栏:壁厚1.2mm;
</t>
  </si>
  <si>
    <t>组</t>
  </si>
  <si>
    <t>尺寸作为参考，
最终生产尺寸以甲方确认为准，
颜色以最终打样为准，不以颜色调整而增加费用</t>
  </si>
  <si>
    <t>FU-2</t>
  </si>
  <si>
    <t>三人桌</t>
  </si>
  <si>
    <t>W2200*D550*H750mm</t>
  </si>
  <si>
    <t>1)台面:面材采用浸渍胶膜纸;基材采用E0级颗粒板,甲醛释放量≤0.05mg/m3
2)柜体:主体面材采用浸渍胶膜纸;基材采用E0级颗粒板,甲醛释放量≤0.05mg/m3,
3)封边:台面采用优质PVC封边条,厚度2.5mm;柜体采用优质PVC封边条,厚度1mm,
4)桌脚:采用浸渍胶膜纸饰面板,基材为E0级颗粒板，甲醛释放量≤0.05mg/m3,材使用PVC封边
5)导轨:优质导轨,耐久性≥4万次,</t>
  </si>
  <si>
    <t>FU-3</t>
  </si>
  <si>
    <t>凳子</t>
  </si>
  <si>
    <t>W500*D450*H750mm</t>
  </si>
  <si>
    <t>1)框架:采用优质实木,经干燥、防虫、防腐处理,木材含水率8~12%,不翘曲、变形,无节疤,无虫眼,表面环保油漆涂饰,甲醛释放量≤0.05mg/m3
2)背板:采用多层板贴木皮,表面环保油漆涂饰,甲醛释放量≤0.05mg/m3
3)软包:面料使用聚氯乙烯（PVC）人造革，海绵采用密度≥25kg/m3,回弹性≥35%,通过CA TB117-2013防火性能检测</t>
  </si>
  <si>
    <t>把</t>
  </si>
  <si>
    <t>FU-4</t>
  </si>
  <si>
    <t>置物柜+穿衣镜</t>
  </si>
  <si>
    <t>W1200*D550*H2200mm
W550*H1300mm银镜</t>
  </si>
  <si>
    <t>1)柜体:主体面材采用浸渍胶膜纸,表面稳定性好,层次感优,耐污抗磨性强;基材采用E0级颗粒板,甲醛释放量≤0.05mg/m3
2)封边:柜体采用优质PVC封边条,厚度1mm,甲醛释放量，耐光色牢度,耐龟裂性,耐磨性能,符合QB/T 4463-2013《家具用封边条技术要求》标准</t>
  </si>
  <si>
    <t>个</t>
  </si>
  <si>
    <t>FU-5</t>
  </si>
  <si>
    <t>挂机空调</t>
  </si>
  <si>
    <t>大1.5匹变频</t>
  </si>
  <si>
    <t>1.描述：空调挂机 家用卧室冷暖空调 一键舒适风 变频新能效 18分贝低噪 大1.5匹 一级能效
2.配管需满足现场要求</t>
  </si>
  <si>
    <t>台</t>
  </si>
  <si>
    <t>FU-6</t>
  </si>
  <si>
    <t>热水器</t>
  </si>
  <si>
    <t>80L</t>
  </si>
  <si>
    <t xml:space="preserve">1、容量：80L
2、额定功率：2000W
3、热水输出率：60%
4、能效等级：二级    </t>
  </si>
  <si>
    <t>FU-7</t>
  </si>
  <si>
    <t>床垫</t>
  </si>
  <si>
    <t>W1900*D1200*H80mm</t>
  </si>
  <si>
    <t>1、床布：针织布
2、厚度：80mm，密度：20卷棉
3、上下：550硬质棉
4、床网：采用独立袋装独立弹簧
5、大边：针织布+10mm20密度卷棉+15g无纺布
6、床垫：甲醛释放量、致癌染料检测合格，抑菌率-金黄色葡萄球菌达到99.5%</t>
  </si>
  <si>
    <t>窗帘产品统计</t>
  </si>
  <si>
    <t>MR-1</t>
  </si>
  <si>
    <t>纱帘</t>
  </si>
  <si>
    <t>窗纱面料为聚酯纤维材质，具有透气、透影不透光、垂感美观等特点。与全遮光帘布搭配，可达到全遮光、半遮光的使用要求。</t>
  </si>
  <si>
    <t>m</t>
  </si>
  <si>
    <t>MR-2</t>
  </si>
  <si>
    <t>遮光布帘</t>
  </si>
  <si>
    <t>面料为全遮光聚酯纤维材质，加工工艺为两边及底边采用包边处理，并进行高温蒸汽的形状记忆定型加工，形成美观的半永久褶叶垂感，具有美观大方等特点，面料克重:士410g/m2</t>
  </si>
  <si>
    <t>MR-3</t>
  </si>
  <si>
    <t>床上窗帘</t>
  </si>
  <si>
    <t>成分及含量: 100%阻燃涤纶
规格:150D*300D
重量:200-280克/平方米
阻燃</t>
  </si>
  <si>
    <t>小计</t>
  </si>
  <si>
    <t>办公室B</t>
  </si>
  <si>
    <t>衣柜</t>
  </si>
  <si>
    <t>W1500*D550*H2200mm</t>
  </si>
  <si>
    <t>柜体:主体面材采用浸渍胶膜纸;基材采用E0级颗粒板,甲醛释放量≤0.05mg/m3,
2)封边:柜体采用优质PVC封边条,厚度1mm</t>
  </si>
  <si>
    <t>迷你水吧台</t>
  </si>
  <si>
    <t>W600*D550*H850mm</t>
  </si>
  <si>
    <t>1)柜体:主体面材采用浸渍胶膜纸;基材采用E0级颗粒板,
2)封边:柜体采用优质PVC封边条,厚度1mm
3)导轨:优质导轨,耐久性≥4万次,</t>
  </si>
  <si>
    <t>电视台柜面</t>
  </si>
  <si>
    <t>W1600*D350*H850mm</t>
  </si>
  <si>
    <t>1)台面:面材采用浸渍胶膜纸,基材采用E0级颗粒板,甲醛释放量≤0.05mg/m3,
2)柜体:主体面材采用浸渍胶膜纸;基材采用E0级颗粒板,甲醛释放量≤0.05mg/m3
3)封边:台面采用优质PVC封边条,厚度2.5mm;柜体采用优质PVC封边条,厚度1mm,
4)桌脚:采用浸渍胶膜纸饰面板,基材为E0级颗粒板，甲醛释放量≤0.05mg/m3 板材使用PVC封边
5)导轨:优质导轨,耐久性≥4万次,</t>
  </si>
  <si>
    <t>床屏+床架</t>
  </si>
  <si>
    <t>W2100*D2000*H900mm</t>
  </si>
  <si>
    <t xml:space="preserve">1)床头:采用18mm厚浸渍胶膜纸饰面板,基材为E0级颗粒板,甲醛释放量≤0.05mg/m3，板材使用PVC封边
2)床板:采用12mm厚浸渍胶膜纸饰面板,基材为E0级颗粒板;板材使用PVC封边
3)床帮:采用25mm厚浸渍胶膜纸饰面板,基材为E0级颗粒板,;板材使用PVC封边
</t>
  </si>
  <si>
    <t>床头柜</t>
  </si>
  <si>
    <t>W650*D530*H450mm</t>
  </si>
  <si>
    <t>1)柜体:主体面材采用浸渍胶膜纸,;基材采用E0级颗粒板
2)封边:柜体采用优质PVC封边条,厚度1mm,
3)导轨:优质导轨,耐久性≥4万次</t>
  </si>
  <si>
    <t>茶几</t>
  </si>
  <si>
    <t>W1500*D550*H750</t>
  </si>
  <si>
    <t>1)台面:台面主要基材使用E0级中纤板,
2)台面封边:选择木纹色配置,台面使用天然木皮封边,厚度1mm,选择非木纹色配置
3)木皮:选择木纹色配置,主要部件采用≥0.4mm天然木皮贴面,台面反面采用≥0.3mm科技木皮贴面,选择非木纹色配置无木皮
4)桌脚:锥台型PU下脚,表面油漆喷涂
5)油漆:采用水性环保油漆,游离甲醛含量≤100mg/Kg</t>
  </si>
  <si>
    <t>单人沙发椅</t>
  </si>
  <si>
    <t>W610*D535*H760</t>
  </si>
  <si>
    <t>1)框架:采用优质实木,甲醛释放量≤0.05mg/m3
2)背板:采用多层板贴木皮,表面环保油漆涂饰,甲醛释放量≤0.05mg/m3
3)软包:面料使用聚氯乙烯（PVC）人造革</t>
  </si>
  <si>
    <t>FU-8</t>
  </si>
  <si>
    <t>W2000*D2000*H200</t>
  </si>
  <si>
    <t>1、床布：针织布
2、密度：20卷棉
3、上下：550硬质棉
4、床网：采用独立袋装独立弹簧
5、大边：针织布+10mm20密度卷棉+15g无纺布
6、床垫：甲醛释放量、致癌染料检测合格，抑菌率-金黄色葡萄球菌达到99.5%</t>
  </si>
  <si>
    <t>FU-9</t>
  </si>
  <si>
    <t>FU-10</t>
  </si>
  <si>
    <t>60L</t>
  </si>
  <si>
    <t xml:space="preserve">1、容量：60L
2、额定功率：2000W
3、热水输出率：60%
4、能效等级：二级    </t>
  </si>
  <si>
    <t>FU-12</t>
  </si>
  <si>
    <t>穿衣镜</t>
  </si>
  <si>
    <t>W500*H1600mm</t>
  </si>
  <si>
    <t>银镜+黑色铝框</t>
  </si>
  <si>
    <t>遮光帘</t>
  </si>
  <si>
    <t>办公室B1</t>
  </si>
  <si>
    <t>W600*D550*H850</t>
  </si>
  <si>
    <t>W1600*D350*H80mm</t>
  </si>
  <si>
    <t>W1350*D2000*H900</t>
  </si>
  <si>
    <t>W650*D530*H450</t>
  </si>
  <si>
    <t>W1350*D2000*H200</t>
  </si>
  <si>
    <t>办公室C</t>
  </si>
  <si>
    <t>W1850*D600*H2490mm</t>
  </si>
  <si>
    <t>1)柜体:主体面材采用浸渍胶膜纸;基材采用E0级颗粒板,甲醛释放量≤0.05mg/m3,
2)封边:柜体采用优质PVC封边条,厚度1mm</t>
  </si>
  <si>
    <t>桌子</t>
  </si>
  <si>
    <t>W1600*D550*H750mm</t>
  </si>
  <si>
    <t>椅子</t>
  </si>
  <si>
    <t>W2000*D2000*H200mm</t>
  </si>
  <si>
    <t>1、床布：针织布
2、厚密度：20卷棉
3、上下：550硬质棉
4、床网：采用独立袋装独立弹簧
5、大边：针织布+10mm20密度卷棉+15g无纺布
6、床垫：甲醛释放量、致癌染料检测合格，抑菌率-金黄色葡萄球菌达到99.5%</t>
  </si>
  <si>
    <t>2匹变频</t>
  </si>
  <si>
    <t>1.描述：空调挂机 家用卧室冷暖空调 一键舒适风 变频新能效 18分贝低噪 2匹 一级能效
2.配管需满足现场要求</t>
  </si>
  <si>
    <t>卫生间百叶帘</t>
  </si>
  <si>
    <t>办公室D</t>
  </si>
  <si>
    <t>玄关柜</t>
  </si>
  <si>
    <t>W900*D350*H2400mm</t>
  </si>
  <si>
    <t>客厅沙发</t>
  </si>
  <si>
    <t>W2900*D850*H600</t>
  </si>
  <si>
    <t xml:space="preserve">1)面料:优质三防面料,甲醛含量≤75mg/kg,
2)海绵:采用优质回弹海绵,座面密度≥30kg/m3,其他部位≥20kg/m3,
3)内框架:主材胶合板木架,落叶松实木弹簧木档,搭配钢制弹簧及弹力绷带,胶合板含水率5%-16%,甲醛释放量≤0.05mg/m3,落叶松含水率≤14%,
4)沙发脚:钢制沙发脚,表面静电粉末喷涂,壁厚1.8mm空心跑道管,涂层耐盐雾18h,
5)软包填充:靠背软包整体使用切割回弹海绵+6D聚酯纤维织物
</t>
  </si>
  <si>
    <t>套</t>
  </si>
  <si>
    <t>φ900</t>
  </si>
  <si>
    <t>1)台面:主要基材使用E0级中纤板,甲醛释放量≤0.05mg/m3,
2)台面封边:选择木纹色配置,台面使用天然木皮封边,厚度1mm;选择非木纹色配置,台面不做封边处理
3)木皮:选择木纹色配置,主要部件采用≥0.4mm天然木皮贴面,台面反面采用≥0.3mm科技木皮贴面,选择非木纹色配置无木皮
4)桌脚:锥台型PU下脚,表面油漆喷涂,涂层平整光滑、无明显粒子、涨边、掉色、褪色、皱皮等现象,
5)油漆:采用水性环保油漆,游离甲醛含量≤100mg/Kg,实色漆采用五底一面的封闭实色漆涂装工艺</t>
  </si>
  <si>
    <t>W1300*D600*H2490mm</t>
  </si>
  <si>
    <t>FU-11</t>
  </si>
  <si>
    <t>具体品牌由甲方确认</t>
  </si>
  <si>
    <t>FU-14</t>
  </si>
  <si>
    <t>防刮半透金刚砂</t>
  </si>
  <si>
    <t>客厅百叶帘</t>
  </si>
  <si>
    <t>办公室E</t>
  </si>
  <si>
    <t>W900*D420*H2400mm</t>
  </si>
  <si>
    <t>W900*D600*H2200mm</t>
  </si>
  <si>
    <t>FU-13</t>
  </si>
  <si>
    <t>百叶帘</t>
  </si>
  <si>
    <t>通航青年国际社区项目4至6号楼家具电器采购（公区）造价汇总表</t>
  </si>
  <si>
    <t>含税造价合计=（1+2+3+4+5+6+7+8+9+10+11+12）</t>
  </si>
  <si>
    <t>通航青年国际社区项目4至6号楼家具电器采购（公区）数量清单</t>
  </si>
  <si>
    <t>4#大堂</t>
  </si>
  <si>
    <t>阅读空间-桌</t>
  </si>
  <si>
    <t>L3680*W1000*H760mm</t>
  </si>
  <si>
    <t>1、台面:实木
2、面漆：复合环保要求；
3、底漆：复合环保要求；</t>
  </si>
  <si>
    <t>阅读空间-椅子</t>
  </si>
  <si>
    <t>L540*W450*H450mm</t>
  </si>
  <si>
    <t>1)面料:皮布结合,座垫使用头层荔枝纹牛皮,靠背使用科技布,
2)海绵:发泡成型定型海绵,密度≥50kg/m3,回弹性≥35%,内置成型胶合板,通过CA TB117-2013防火性能检测,
3)外框架:天然红橡木油漆件,环保油漆涂饰,</t>
  </si>
  <si>
    <t>阅读空间-花瓶摆件</t>
  </si>
  <si>
    <t>φ250*H700mm</t>
  </si>
  <si>
    <t xml:space="preserve">金属+绿植
</t>
  </si>
  <si>
    <t>件</t>
  </si>
  <si>
    <t>沙发</t>
  </si>
  <si>
    <t>L3600*W1100*H750mm</t>
  </si>
  <si>
    <t>1、框架：采用优质实木（橡木）；
2、面层：采用环保科技布；
3、垫层：海绵，表观密度≥50kg/m³，回弹性能≥45%，燃烧性能（热释放速率峰值≤350kW/㎡、烟密度等级(SDR)&lt;75、阻燃性能等级达到1级）检测合格</t>
  </si>
  <si>
    <t>休闲椅</t>
  </si>
  <si>
    <t>L780*W780*H750mm</t>
  </si>
  <si>
    <t>1、面层：采用生态皮，抗张强度（横向）≥10N/mm²，抗张强度（纵向）≥10N/mm²，断裂伸长率（横向）≥50%，断裂伸长率（纵向）≥50%，阻燃I级。
2、垫层：海绵，表观密度≥50kg/m³，回弹性能≥45%，燃烧性能（热释放速率峰值≤350kW/㎡、烟密度等级(SDR)&lt;75、阻燃性能等级达到1级）检测合格
3、脚架：金属脚</t>
  </si>
  <si>
    <t>L1300*W700*H380mm</t>
  </si>
  <si>
    <t>采用优质实木
脚架:主体使用实木/E0级中纤板/颗粒板,边部倒角R2mm</t>
  </si>
  <si>
    <t>快递架/外卖架</t>
  </si>
  <si>
    <t>L2000*W400*H1800mm</t>
  </si>
  <si>
    <t>1、基材：实木颗粒板（E0）级
2、封边：塑料PVC封边条，耐磨性（磨30r后应无露底现象）
3、金属框架</t>
  </si>
  <si>
    <t>落地灯</t>
  </si>
  <si>
    <t>L250*W250*H1650mm</t>
  </si>
  <si>
    <t>云石+金属</t>
  </si>
  <si>
    <t>地毯产品统计</t>
  </si>
  <si>
    <t>HY-CP-1</t>
  </si>
  <si>
    <t>地毯</t>
  </si>
  <si>
    <t>L4700*W4100mm</t>
  </si>
  <si>
    <t>腈纶</t>
  </si>
  <si>
    <t>5#大堂</t>
  </si>
  <si>
    <t>文创销售区-飞机文创产品</t>
  </si>
  <si>
    <t>φ300mm*500mm</t>
  </si>
  <si>
    <t>合金</t>
  </si>
  <si>
    <t>款式可更换，设计确认样式</t>
  </si>
  <si>
    <t>前台飞机摆件</t>
  </si>
  <si>
    <t>φ500*H650mm</t>
  </si>
  <si>
    <t>玻璃钢</t>
  </si>
  <si>
    <t>1、框架：采用优质实木
2、面层：采用环保科技布
3、垫层：海绵，表观密度≥50kg/m³，回弹性能≥45%，燃烧性能（热释放速率峰值≤350kW/㎡、烟密度等级(SDR)&lt;75、阻燃性能等级达到1级）检测合格</t>
  </si>
  <si>
    <t>1、基材：实木颗粒板（E0）级
2、封边：塑料PVC封边条
3、金属框架</t>
  </si>
  <si>
    <t>2.4×2.55
3×2.55
2.3×2.55
2.7×2.55</t>
  </si>
  <si>
    <t>复合材料</t>
  </si>
  <si>
    <t>根据现场具体尺寸为准</t>
  </si>
  <si>
    <t>6#大堂</t>
  </si>
  <si>
    <t>1、框架框架：采用优质实木
2、面层：采用环保科技布
3、垫层：海绵，表观密度≥50kg/m³，回弹性能≥45%，燃烧性能（热释放速率峰值≤350kW/㎡、烟密度等级(SDR)&lt;75、阻燃性能等级达到1级）检测合格</t>
  </si>
  <si>
    <t>尺寸作为参考，
最终生产尺寸以厂商深化为准，
颜色以最终打样为准</t>
  </si>
  <si>
    <t>1、采用优质实木
2、脚架:主体使用E0级中纤板/颗粒板,边部倒角R2mm
3、油漆:采用水性环保油漆</t>
  </si>
  <si>
    <t>W510*D510*H760mm</t>
  </si>
  <si>
    <t>φ800*H750mm</t>
  </si>
  <si>
    <t>1、台面：岩板，石材件外观要求检测合格，不允许有断裂
2、脚架：金属脚，金属喷漆（塑）涂层（硬度≥6H）冲击强度、附着力等检测合格。</t>
  </si>
  <si>
    <t>4/5/6#1楼办公室</t>
  </si>
  <si>
    <t>办公桌</t>
  </si>
  <si>
    <t>W1600*D600*H750mm</t>
  </si>
  <si>
    <t>1)台面:面材采用浸渍胶膜纸;基材采用E0级颗粒板,
2)封边:台面采用优质PVC封边条,
3)柜体:基材采用E0级颗粒板,
4)封边:柜体采用优质PVC封边条,
5)桌脚:门字型钢脚,采用优质冷轧钢,表面静电粉末喷涂
6)线盒:普通翻盖线盒,材质ABS
7)铰链:阻尼缓冲铰链,耐久性≥4万次,
8)导轨:优质导轨,耐久性≥4万次
9)锁具:机械密码锁,使用寿命＞1万次,
10)柜脚:ABS材质</t>
  </si>
  <si>
    <t>办公椅</t>
  </si>
  <si>
    <t>φ660mm*H1200mm</t>
  </si>
  <si>
    <t>1)面料:优质网布面料,
2)座垫:裁切棉
3)椅背:PP+30%玻纤一体成型背框,
4)扶手:PP固定扶手,
5)底盘:优质底盘
7)五星脚:直径640mm尼龙五星脚
8)椅轮:PA轮
1)头枕调节:上下调节50mm,旋转40°
2)底盘调节:背座同步倾仰,单档初始位置锁定,旋钮可调节倾仰松紧力度</t>
  </si>
  <si>
    <t>4/5/6#1楼</t>
  </si>
  <si>
    <t>文件柜</t>
  </si>
  <si>
    <t>W850*D400*H1800mm</t>
  </si>
  <si>
    <t>1)柜体:基材采用优质冷轧钢板,表面静电粉末喷涂,喷涂完成后柜体背板厚度不低于0.7mm,两侧旁板厚度不低于0.8mm
2)铰链,耐久性≥4万次,
3)锁具:正面锁,锁头凸出门板,使用寿命＞2万次,
4)拼接工艺:三面拼接工艺,背部与侧板拼接,焊接固定
5)开合功能:金属内嵌式拉手
6)层板调节功能:活动层板,可根据具体使用物品尺寸调整层板间距,层板承重不低于30kg
7)调节功能:内置调节脚底,从柜内调节高度
8)敲落孔配置:左右侧边配置连接孔,用于相邻柜子左右连接</t>
  </si>
  <si>
    <t>4#1楼</t>
  </si>
  <si>
    <t>单人床</t>
  </si>
  <si>
    <t>W2000*D1200*H750mm</t>
  </si>
  <si>
    <t>板材+金属（包含棕垫）</t>
  </si>
  <si>
    <t>6#1楼</t>
  </si>
  <si>
    <t>尺寸作为参考，
最终生产尺寸以厂商深化为准，
颜色以最终打样为准。</t>
  </si>
  <si>
    <t>更衣柜</t>
  </si>
  <si>
    <t>W850*D420*H1800mm</t>
  </si>
  <si>
    <t>4#3/5楼</t>
  </si>
  <si>
    <t>储物柜</t>
  </si>
  <si>
    <t>W1600*D600*H1800mm</t>
  </si>
  <si>
    <t>1)柜体:主体面材采用浸渍胶膜纸,表面稳定性好,层次感优,耐污抗磨性强;基材采用E0级颗粒板
2)封边:柜体采用优质PVC封边条,厚度1mm；
3)铰链:阻尼缓冲铰链,耐久性≥4万次
4)柜脚:PP材质</t>
  </si>
  <si>
    <t>5#3/5楼</t>
  </si>
  <si>
    <t>1)柜体:主体面材采用浸渍胶膜纸,;基材采用E0级颗粒板,甲醛释放量≤0.05mg/m3,
2)封边:柜体采用优质PVC封边条,厚度1mm
3)铰链:阻尼缓冲铰链,耐久性≥4万次
4)柜脚:PP材质</t>
  </si>
  <si>
    <t>6#3/5楼</t>
  </si>
  <si>
    <t>4#2/4/6楼</t>
  </si>
  <si>
    <t>布草柜</t>
  </si>
  <si>
    <t>1)柜体:主体面材采用浸渍胶膜纸,表面稳定性好,层次感优,耐污抗磨性强;基材采用E0级颗粒板
2)封边:柜体采用优质PVC封边条,厚度1mm
3)铰链:阻尼缓冲铰链,耐久性≥4万次
4)柜脚:PP材质</t>
  </si>
  <si>
    <t>5#2/4/6楼</t>
  </si>
  <si>
    <t>6#2/4/6楼</t>
  </si>
  <si>
    <t>4/5/6#7楼</t>
  </si>
  <si>
    <t>定制柜体a</t>
  </si>
  <si>
    <t>W7200*D600*H2500mm</t>
  </si>
  <si>
    <t>1)柜体:主体面材采用浸渍胶膜纸,表面稳定性好,层次感优,耐污抗磨性强;基材采用E0级颗粒板,甲醛释放量≤0.05mg/m3,石材台面（需要配置洗手池及龙头）
2)封边:柜体采用优质PVC封边条,厚度1mm,</t>
  </si>
  <si>
    <t>1)框架:采用优质实木
2)背板:科技布
3)软包:面料使用聚氯乙烯（PVC）人造革,海绵采用密度≥25kg/m3,回弹性≥35%,</t>
  </si>
  <si>
    <t>金属</t>
  </si>
  <si>
    <t>通航青年国际社区项目4至6号楼家具电器采购（电气）数量清单</t>
  </si>
  <si>
    <t>工区电器</t>
  </si>
  <si>
    <t>值班室(4#1F\6#1F)</t>
  </si>
  <si>
    <t>办公室(4#1F\5#1F\6#1F)</t>
  </si>
  <si>
    <t>6#共享空间</t>
  </si>
  <si>
    <t>风管机</t>
  </si>
  <si>
    <t>5匹</t>
  </si>
  <si>
    <t>1、5匹
2、制冷量：12000W
3、工作方式：变频</t>
  </si>
  <si>
    <t>洗衣机</t>
  </si>
  <si>
    <t>成品采购</t>
  </si>
  <si>
    <t>1.洗净比：1.03
2.能效等级：二级能效  
3.洗涤功率：400W
4：脱水功率：500W
5、洗涤容量：10KG</t>
  </si>
  <si>
    <t>烘干机</t>
  </si>
  <si>
    <t>1.烘干类型：滚筒式
2.箱体材质：彩钢
3.烘干方式：热泵式
4.烘干公斤量：10Kg</t>
  </si>
  <si>
    <t>通航青年国际社区项目4至6号楼家具电器采购（健身器材）数量清单</t>
  </si>
  <si>
    <t>工区</t>
  </si>
  <si>
    <t>运动区-动感单车</t>
  </si>
  <si>
    <t>L1324*W505*H1270mm</t>
  </si>
  <si>
    <t>1、允许使用者的最大体重110kg  
2.飞轮组，重量11kg    
3.无级调控 磁控调节
4.有阻力，器械尺寸：L1324*W505*H1270mm
5.净重/毛重：59/65 kg  体积：0.36㎡</t>
  </si>
  <si>
    <t>运动区-椭圆机</t>
  </si>
  <si>
    <t>L1505*W582*H1685mm</t>
  </si>
  <si>
    <t>功能：心率、时间、速度、距离、热量、里程
净重/毛重：64KG/69KG  液晶显示器(毫米)：131 * 67
控制台(毫米)：200 * 270 * 43  
主架采用椭圆管，表面喷塑处理。
车把喷塑完成后再浸塑处理。
电 子 表：先进电子表配备背光屏幕LCD 窗口，显示时间、距离、转速、速度、段数、卡路里、脉搏、瓦特。
调  速：EMS电磁控阻力系统，30-300 WATT阻力范围；32 段阻力段数采用刹车片无级调速，具有紧急刹车结构。
特  点：32组预载程序，提供使用者选用；电子表角度多段可调整式；双向轨迹(顺时针运转及逆时针运转)，提供多元运动方向选择踏板装置防滑垫，增加运动时舒适度；手握脉搏；铝制仪表管；摇摆把手装置高密度泡棉；可调式多段数脚垫；设计合理的后置移动轮，一人可方便移动。功能：可进行椭圆运动，锻炼手臂及腿部功能</t>
  </si>
  <si>
    <t>运动区-跑步机</t>
  </si>
  <si>
    <t xml:space="preserve">1700x800x1350mm
</t>
  </si>
  <si>
    <t>1.控制面板：大型LED数码窗口，带音响                  
2.马达：2.0HP交流变频电机                  
3.峰值：4.5P                                 
4.速度范围：0.8-20KM/H                           
5.坡度范围：可调升降坡度0- 18段              
6.显示功能：速度、距离、时间、坡度、心率、卡路里、运行程序设置，400米跑道、故障显示。                                                               7.运动程序：采用国际化标准模式16组预设程序。      
8.外形结构：厚稳钢焊机体。整机 净重162KG，毛重178KG    
9.心率控制：手握式脉搏传感运动心率               
10.最大载重：180KG                                        外包装尺寸 1700x800x1350mm                                                     
11.展开尺寸：（长/宽/高mm)2090*876*1625       
12.跑步面积：（长/宽mm)（长/宽mm)1550*580                                                                           13.跑带：2.0mm跑带。高密度材料，减震、防滑效果极好，韧性好防断裂                                                   14.框架：反复酸碱处理保证钢材起到防锈、防腐、防潮作用，适用不同环境下处理                                                15.跑板：25mm厚专业用2层双面预腊跑板                                                    16.特点：采用全跑台硅胶缓冲带,75MM的前后大滚轴,支持蓝牙无线心率带，跑带两边设置警示灯带，保障跑步区域安全显示，屏幕可一键选择关闭，而不影响跑步机正常使用，可以选择性配置手机无线充电模块，自带简易加油孔，维护更方便。</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</si>
</sst>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sz val="10"/>
      <name val="宋体"/>
      <charset val="134"/>
      <scheme val="minor"/>
    </font>
    <font>
      <b/>
      <sz val="18"/>
      <name val="宋体"/>
      <charset val="134"/>
      <scheme val="minor"/>
    </font>
    <font>
      <b/>
      <sz val="10"/>
      <name val="宋体"/>
      <charset val="134"/>
      <scheme val="minor"/>
    </font>
    <font>
      <b/>
      <sz val="14"/>
      <name val="宋体"/>
      <charset val="134"/>
      <scheme val="minor"/>
    </font>
    <font>
      <sz val="10"/>
      <name val="宋体"/>
      <charset val="134"/>
    </font>
    <font>
      <sz val="11"/>
      <name val="宋体"/>
      <charset val="134"/>
      <scheme val="minor"/>
    </font>
    <font>
      <b/>
      <sz val="10"/>
      <name val="宋体"/>
      <charset val="134"/>
    </font>
    <font>
      <sz val="12"/>
      <color theme="1"/>
      <name val="宋体"/>
      <charset val="134"/>
      <scheme val="minor"/>
    </font>
    <font>
      <sz val="16"/>
      <color theme="1"/>
      <name val="宋体"/>
      <charset val="134"/>
      <scheme val="minor"/>
    </font>
    <font>
      <b/>
      <sz val="12"/>
      <color theme="1"/>
      <name val="宋体"/>
      <charset val="134"/>
      <scheme val="minor"/>
    </font>
    <font>
      <b/>
      <sz val="16"/>
      <name val="宋体"/>
      <charset val="134"/>
      <scheme val="minor"/>
    </font>
    <font>
      <sz val="10"/>
      <color theme="1"/>
      <name val="宋体"/>
      <charset val="134"/>
    </font>
    <font>
      <sz val="10"/>
      <name val="宋体"/>
      <charset val="134"/>
      <scheme val="major"/>
    </font>
    <font>
      <b/>
      <sz val="14"/>
      <name val="宋体"/>
      <charset val="134"/>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sz val="10"/>
      <name val="Helv"/>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25"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9" applyNumberFormat="0" applyFont="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6" applyNumberFormat="0" applyFill="0" applyAlignment="0" applyProtection="0">
      <alignment vertical="center"/>
    </xf>
    <xf numFmtId="0" fontId="22" fillId="0" borderId="6" applyNumberFormat="0" applyFill="0" applyAlignment="0" applyProtection="0">
      <alignment vertical="center"/>
    </xf>
    <xf numFmtId="0" fontId="17" fillId="24" borderId="0" applyNumberFormat="0" applyBorder="0" applyAlignment="0" applyProtection="0">
      <alignment vertical="center"/>
    </xf>
    <xf numFmtId="0" fontId="18" fillId="0" borderId="4" applyNumberFormat="0" applyFill="0" applyAlignment="0" applyProtection="0">
      <alignment vertical="center"/>
    </xf>
    <xf numFmtId="0" fontId="17" fillId="27" borderId="0" applyNumberFormat="0" applyBorder="0" applyAlignment="0" applyProtection="0">
      <alignment vertical="center"/>
    </xf>
    <xf numFmtId="0" fontId="28" fillId="10" borderId="8" applyNumberFormat="0" applyAlignment="0" applyProtection="0">
      <alignment vertical="center"/>
    </xf>
    <xf numFmtId="0" fontId="24" fillId="10" borderId="7" applyNumberFormat="0" applyAlignment="0" applyProtection="0">
      <alignment vertical="center"/>
    </xf>
    <xf numFmtId="0" fontId="31" fillId="23" borderId="11" applyNumberFormat="0" applyAlignment="0" applyProtection="0">
      <alignment vertical="center"/>
    </xf>
    <xf numFmtId="0" fontId="15" fillId="30" borderId="0" applyNumberFormat="0" applyBorder="0" applyAlignment="0" applyProtection="0">
      <alignment vertical="center"/>
    </xf>
    <xf numFmtId="0" fontId="17" fillId="20" borderId="0" applyNumberFormat="0" applyBorder="0" applyAlignment="0" applyProtection="0">
      <alignment vertical="center"/>
    </xf>
    <xf numFmtId="0" fontId="21" fillId="0" borderId="5" applyNumberFormat="0" applyFill="0" applyAlignment="0" applyProtection="0">
      <alignment vertical="center"/>
    </xf>
    <xf numFmtId="0" fontId="30" fillId="0" borderId="10" applyNumberFormat="0" applyFill="0" applyAlignment="0" applyProtection="0">
      <alignment vertical="center"/>
    </xf>
    <xf numFmtId="0" fontId="27" fillId="18" borderId="0" applyNumberFormat="0" applyBorder="0" applyAlignment="0" applyProtection="0">
      <alignment vertical="center"/>
    </xf>
    <xf numFmtId="0" fontId="26" fillId="14" borderId="0" applyNumberFormat="0" applyBorder="0" applyAlignment="0" applyProtection="0">
      <alignment vertical="center"/>
    </xf>
    <xf numFmtId="0" fontId="15" fillId="9" borderId="0" applyNumberFormat="0" applyBorder="0" applyAlignment="0" applyProtection="0">
      <alignment vertical="center"/>
    </xf>
    <xf numFmtId="0" fontId="17" fillId="19" borderId="0" applyNumberFormat="0" applyBorder="0" applyAlignment="0" applyProtection="0">
      <alignment vertical="center"/>
    </xf>
    <xf numFmtId="0" fontId="15" fillId="17"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3"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5" fillId="31" borderId="0" applyNumberFormat="0" applyBorder="0" applyAlignment="0" applyProtection="0">
      <alignment vertical="center"/>
    </xf>
    <xf numFmtId="0" fontId="15" fillId="29" borderId="0" applyNumberFormat="0" applyBorder="0" applyAlignment="0" applyProtection="0">
      <alignment vertical="center"/>
    </xf>
    <xf numFmtId="0" fontId="17" fillId="26" borderId="0" applyNumberFormat="0" applyBorder="0" applyAlignment="0" applyProtection="0">
      <alignment vertical="center"/>
    </xf>
    <xf numFmtId="0" fontId="15" fillId="25" borderId="0" applyNumberFormat="0" applyBorder="0" applyAlignment="0" applyProtection="0">
      <alignment vertical="center"/>
    </xf>
    <xf numFmtId="0" fontId="34" fillId="0" borderId="0"/>
    <xf numFmtId="0" fontId="17" fillId="6" borderId="0" applyNumberFormat="0" applyBorder="0" applyAlignment="0" applyProtection="0">
      <alignment vertical="center"/>
    </xf>
    <xf numFmtId="0" fontId="34" fillId="0" borderId="0"/>
    <xf numFmtId="0" fontId="17" fillId="33" borderId="0" applyNumberFormat="0" applyBorder="0" applyAlignment="0" applyProtection="0">
      <alignment vertical="center"/>
    </xf>
    <xf numFmtId="0" fontId="15" fillId="32" borderId="0" applyNumberFormat="0" applyBorder="0" applyAlignment="0" applyProtection="0">
      <alignment vertical="center"/>
    </xf>
    <xf numFmtId="0" fontId="17" fillId="28" borderId="0" applyNumberFormat="0" applyBorder="0" applyAlignment="0" applyProtection="0">
      <alignment vertical="center"/>
    </xf>
  </cellStyleXfs>
  <cellXfs count="85">
    <xf numFmtId="0" fontId="0" fillId="0" borderId="0" xfId="0">
      <alignment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xf>
    <xf numFmtId="0" fontId="9" fillId="0" borderId="0" xfId="0" applyFont="1" applyFill="1" applyBorder="1" applyAlignment="1">
      <alignment horizontal="center" vertical="center"/>
    </xf>
    <xf numFmtId="176" fontId="9" fillId="0" borderId="0"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9" fontId="8"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5" fillId="0" borderId="1" xfId="0" applyNumberFormat="1" applyFont="1" applyFill="1" applyBorder="1" applyAlignment="1">
      <alignment horizontal="lef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xf>
    <xf numFmtId="0" fontId="13" fillId="0" borderId="1" xfId="0" applyFont="1" applyFill="1" applyBorder="1" applyAlignment="1">
      <alignment vertical="center"/>
    </xf>
    <xf numFmtId="0" fontId="8"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0" fontId="0" fillId="0" borderId="0" xfId="0" applyBorder="1" applyAlignment="1">
      <alignment horizontal="center" vertical="center"/>
    </xf>
    <xf numFmtId="176" fontId="8" fillId="0" borderId="1" xfId="0" applyNumberFormat="1"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xf>
    <xf numFmtId="0" fontId="5" fillId="2" borderId="0" xfId="0" applyFont="1" applyFill="1" applyAlignment="1">
      <alignment vertical="center"/>
    </xf>
    <xf numFmtId="0" fontId="5" fillId="2" borderId="0" xfId="45" applyFont="1" applyFill="1" applyAlignment="1">
      <alignment horizontal="center" vertical="center"/>
    </xf>
    <xf numFmtId="0" fontId="5" fillId="2" borderId="0" xfId="45" applyFont="1" applyFill="1" applyAlignment="1">
      <alignment vertical="center" wrapText="1"/>
    </xf>
    <xf numFmtId="0" fontId="14" fillId="2" borderId="0" xfId="45" applyFont="1" applyFill="1" applyAlignment="1">
      <alignment horizontal="center" vertical="center" wrapText="1"/>
    </xf>
    <xf numFmtId="0" fontId="5" fillId="2" borderId="1" xfId="45" applyFont="1" applyFill="1" applyBorder="1" applyAlignment="1">
      <alignment horizontal="center" vertical="center" wrapText="1"/>
    </xf>
    <xf numFmtId="0" fontId="5" fillId="2" borderId="1" xfId="47"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公共部位室内装修工程量清单" xfId="45"/>
    <cellStyle name="60% - 强调文字颜色 5" xfId="46" builtinId="48"/>
    <cellStyle name="样式 1 2 6" xfId="47"/>
    <cellStyle name="强调文字颜色 6" xfId="48" builtinId="49"/>
    <cellStyle name="40% - 强调文字颜色 6" xfId="49" builtinId="51"/>
    <cellStyle name="60% - 强调文字颜色 6" xfId="50"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2307;&#26726;&#25972;&#29702;&#21253;\&#33829;&#23665;&#36164;&#38451;&#35810;&#20215;&#21450;&#21407;&#28165;&#21333;\&#33829;&#23665;&#25237;&#26631;\file:\C:\&#22307;&#26726;&#22320;&#20135;\&#33829;&#23665;&#39033;&#30446;\&#24635;&#21253;&#25307;&#26631;\&#28165;&#21333;\&#24037;&#31243;&#37327;&#28165;&#21333;\file:\C:\Users\root\Desktop\&#22823;&#37009;&#22307;&#26726;&#22478;&#37202;&#24215;&#24635;&#21253;9.27&#25237;&#26631;\&#32654;&#22899;\&#35834;&#19969;&#23665;&#24635;&#21253;&#32467;&#31639;\&#35834;&#19969;&#23665;&#19977;&#21306;&#32467;&#31639;&#23457;&#26680;\&#35834;&#19969;&#23665;9#&#270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9栋结算表"/>
      <sheetName val="2#地下室签证"/>
      <sheetName val="三区补充第二次9#楼"/>
      <sheetName val="一区第二次追加"/>
      <sheetName val="钢筋计算表"/>
      <sheetName val="钢筋计算表(计算稿)"/>
      <sheetName val="钢筋汇总表"/>
      <sheetName val="箍筋计算器"/>
      <sheetName val="植筋"/>
      <sheetName val="9#"/>
      <sheetName val="Sheet1"/>
      <sheetName val="一区追加结算"/>
      <sheetName val="2#地下室"/>
      <sheetName val="钢筋计算表(计算稿) (2)"/>
      <sheetName val="安装工程（总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B6" sqref="B6"/>
    </sheetView>
  </sheetViews>
  <sheetFormatPr defaultColWidth="8.25" defaultRowHeight="12" outlineLevelCol="1"/>
  <cols>
    <col min="1" max="1" width="5.36666666666667" style="80" customWidth="1"/>
    <col min="2" max="2" width="119.133333333333" style="81" customWidth="1"/>
    <col min="3" max="16384" width="8.25" style="79"/>
  </cols>
  <sheetData>
    <row r="1" s="79" customFormat="1" ht="44.1" customHeight="1" spans="1:2">
      <c r="A1" s="82" t="s">
        <v>0</v>
      </c>
      <c r="B1" s="82"/>
    </row>
    <row r="2" s="79" customFormat="1" ht="53.1" customHeight="1" spans="1:2">
      <c r="A2" s="83">
        <v>1</v>
      </c>
      <c r="B2" s="84" t="s">
        <v>1</v>
      </c>
    </row>
    <row r="3" s="79" customFormat="1" ht="36.95" customHeight="1" spans="1:2">
      <c r="A3" s="83">
        <v>2</v>
      </c>
      <c r="B3" s="84" t="s">
        <v>2</v>
      </c>
    </row>
    <row r="4" s="79" customFormat="1" ht="39" customHeight="1" spans="1:2">
      <c r="A4" s="83">
        <v>3</v>
      </c>
      <c r="B4" s="84" t="s">
        <v>3</v>
      </c>
    </row>
    <row r="5" s="79" customFormat="1" ht="39" customHeight="1" spans="1:2">
      <c r="A5" s="83">
        <v>4</v>
      </c>
      <c r="B5" s="84" t="s">
        <v>4</v>
      </c>
    </row>
    <row r="6" s="79" customFormat="1" ht="39.95" customHeight="1" spans="1:2">
      <c r="A6" s="83">
        <v>5</v>
      </c>
      <c r="B6" s="84" t="s">
        <v>5</v>
      </c>
    </row>
    <row r="7" s="79" customFormat="1" ht="39" customHeight="1" spans="1:2">
      <c r="A7" s="83">
        <v>6</v>
      </c>
      <c r="B7" s="84" t="s">
        <v>6</v>
      </c>
    </row>
    <row r="8" s="79" customFormat="1" ht="170" customHeight="1" spans="1:2">
      <c r="A8" s="83">
        <v>7</v>
      </c>
      <c r="B8" s="84" t="s">
        <v>7</v>
      </c>
    </row>
    <row r="9" s="79" customFormat="1" ht="27.95" customHeight="1" spans="1:2">
      <c r="A9" s="83">
        <v>8</v>
      </c>
      <c r="B9" s="84" t="s">
        <v>8</v>
      </c>
    </row>
    <row r="10" s="79" customFormat="1" ht="30.95" customHeight="1" spans="1:2">
      <c r="A10" s="83">
        <v>9</v>
      </c>
      <c r="B10" s="84" t="s">
        <v>9</v>
      </c>
    </row>
    <row r="11" s="79" customFormat="1" ht="35.1" customHeight="1" spans="1:2">
      <c r="A11" s="83">
        <v>10</v>
      </c>
      <c r="B11" s="84" t="s">
        <v>10</v>
      </c>
    </row>
    <row r="12" s="79" customFormat="1" ht="35.1" customHeight="1" spans="1:2">
      <c r="A12" s="83">
        <v>11</v>
      </c>
      <c r="B12" s="84" t="s">
        <v>11</v>
      </c>
    </row>
    <row r="13" s="79" customFormat="1" ht="36.95" customHeight="1" spans="1:2">
      <c r="A13" s="83">
        <v>12</v>
      </c>
      <c r="B13" s="84" t="s">
        <v>12</v>
      </c>
    </row>
    <row r="14" s="79" customFormat="1" ht="39" customHeight="1" spans="1:2">
      <c r="A14" s="83">
        <v>13</v>
      </c>
      <c r="B14" s="84" t="s">
        <v>13</v>
      </c>
    </row>
    <row r="15" s="79" customFormat="1" ht="38.1" customHeight="1" spans="1:2">
      <c r="A15" s="83">
        <v>14</v>
      </c>
      <c r="B15" s="84" t="s">
        <v>14</v>
      </c>
    </row>
    <row r="16" s="79" customFormat="1" ht="24.95" customHeight="1" spans="1:2">
      <c r="A16" s="83">
        <v>15</v>
      </c>
      <c r="B16" s="84" t="s">
        <v>15</v>
      </c>
    </row>
    <row r="17" s="79" customFormat="1" ht="24.95" customHeight="1" spans="1:2">
      <c r="A17" s="83">
        <v>16</v>
      </c>
      <c r="B17" s="84" t="s">
        <v>16</v>
      </c>
    </row>
    <row r="18" s="79" customFormat="1" ht="24.95" customHeight="1" spans="1:2">
      <c r="A18" s="83">
        <v>17</v>
      </c>
      <c r="B18" s="84" t="s">
        <v>17</v>
      </c>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view="pageBreakPreview" zoomScale="85" zoomScaleNormal="100" workbookViewId="0">
      <selection activeCell="G10" sqref="G10"/>
    </sheetView>
  </sheetViews>
  <sheetFormatPr defaultColWidth="15.5" defaultRowHeight="13.5" outlineLevelCol="4"/>
  <cols>
    <col min="1" max="1" width="15.5" style="31" customWidth="1"/>
    <col min="2" max="2" width="45.675" style="31" customWidth="1"/>
    <col min="3" max="3" width="19.2666666666667" style="32" customWidth="1"/>
    <col min="4" max="4" width="12.6416666666667" style="31" customWidth="1"/>
    <col min="5" max="16381" width="15.5" style="31" customWidth="1"/>
    <col min="16382" max="16384" width="15.5" style="31"/>
  </cols>
  <sheetData>
    <row r="1" ht="25" customHeight="1" spans="1:4">
      <c r="A1" s="33" t="s">
        <v>182</v>
      </c>
      <c r="B1" s="33"/>
      <c r="C1" s="34"/>
      <c r="D1" s="33"/>
    </row>
    <row r="2" s="30" customFormat="1" ht="22" customHeight="1" spans="1:4">
      <c r="A2" s="35" t="s">
        <v>19</v>
      </c>
      <c r="B2" s="35" t="s">
        <v>20</v>
      </c>
      <c r="C2" s="36" t="s">
        <v>21</v>
      </c>
      <c r="D2" s="35" t="s">
        <v>23</v>
      </c>
    </row>
    <row r="3" s="30" customFormat="1" ht="22" customHeight="1" spans="1:5">
      <c r="A3" s="35">
        <v>1</v>
      </c>
      <c r="B3" s="37" t="s">
        <v>30</v>
      </c>
      <c r="C3" s="36"/>
      <c r="D3" s="35"/>
      <c r="E3" s="38"/>
    </row>
    <row r="4" s="30" customFormat="1" ht="22" customHeight="1" spans="1:5">
      <c r="A4" s="35">
        <v>2</v>
      </c>
      <c r="B4" s="37" t="s">
        <v>31</v>
      </c>
      <c r="C4" s="36"/>
      <c r="D4" s="35"/>
      <c r="E4" s="38"/>
    </row>
    <row r="5" s="30" customFormat="1" ht="22" customHeight="1" spans="1:5">
      <c r="A5" s="35">
        <v>3</v>
      </c>
      <c r="B5" s="37" t="s">
        <v>32</v>
      </c>
      <c r="C5" s="36"/>
      <c r="D5" s="35"/>
      <c r="E5" s="39"/>
    </row>
    <row r="6" s="30" customFormat="1" ht="22" customHeight="1" spans="1:5">
      <c r="A6" s="35">
        <v>4</v>
      </c>
      <c r="B6" s="37" t="s">
        <v>33</v>
      </c>
      <c r="C6" s="36"/>
      <c r="D6" s="35"/>
      <c r="E6" s="38"/>
    </row>
    <row r="7" s="30" customFormat="1" ht="22" customHeight="1" spans="1:5">
      <c r="A7" s="35">
        <v>5</v>
      </c>
      <c r="B7" s="37" t="s">
        <v>34</v>
      </c>
      <c r="C7" s="36"/>
      <c r="D7" s="35"/>
      <c r="E7" s="38"/>
    </row>
    <row r="8" s="30" customFormat="1" ht="22" customHeight="1" spans="1:5">
      <c r="A8" s="35">
        <v>6</v>
      </c>
      <c r="B8" s="37" t="s">
        <v>35</v>
      </c>
      <c r="C8" s="36"/>
      <c r="D8" s="35"/>
      <c r="E8" s="38"/>
    </row>
    <row r="9" s="30" customFormat="1" ht="22" customHeight="1" spans="1:5">
      <c r="A9" s="35">
        <v>7</v>
      </c>
      <c r="B9" s="37" t="s">
        <v>36</v>
      </c>
      <c r="C9" s="36"/>
      <c r="D9" s="35"/>
      <c r="E9" s="38"/>
    </row>
    <row r="10" s="30" customFormat="1" ht="22" customHeight="1" spans="1:5">
      <c r="A10" s="35">
        <v>8</v>
      </c>
      <c r="B10" s="37" t="s">
        <v>37</v>
      </c>
      <c r="C10" s="36"/>
      <c r="D10" s="35"/>
      <c r="E10" s="38"/>
    </row>
    <row r="11" s="30" customFormat="1" ht="22" customHeight="1" spans="1:5">
      <c r="A11" s="35">
        <v>9</v>
      </c>
      <c r="B11" s="37" t="s">
        <v>38</v>
      </c>
      <c r="C11" s="36"/>
      <c r="D11" s="35"/>
      <c r="E11" s="38"/>
    </row>
    <row r="12" s="30" customFormat="1" ht="22" customHeight="1" spans="1:5">
      <c r="A12" s="35">
        <v>10</v>
      </c>
      <c r="B12" s="37" t="s">
        <v>39</v>
      </c>
      <c r="C12" s="36"/>
      <c r="D12" s="35"/>
      <c r="E12" s="38"/>
    </row>
    <row r="13" s="30" customFormat="1" ht="22" customHeight="1" spans="1:5">
      <c r="A13" s="35">
        <v>11</v>
      </c>
      <c r="B13" s="37" t="s">
        <v>40</v>
      </c>
      <c r="C13" s="36"/>
      <c r="D13" s="35"/>
      <c r="E13" s="38"/>
    </row>
    <row r="14" s="30" customFormat="1" ht="22" customHeight="1" spans="1:5">
      <c r="A14" s="35">
        <v>12</v>
      </c>
      <c r="B14" s="40" t="s">
        <v>41</v>
      </c>
      <c r="C14" s="36">
        <v>12183.06</v>
      </c>
      <c r="D14" s="35"/>
      <c r="E14" s="38"/>
    </row>
    <row r="15" s="30" customFormat="1" ht="31" customHeight="1" spans="1:5">
      <c r="A15" s="35">
        <v>13</v>
      </c>
      <c r="B15" s="40" t="s">
        <v>183</v>
      </c>
      <c r="C15" s="41"/>
      <c r="D15" s="35"/>
      <c r="E15" s="38"/>
    </row>
  </sheetData>
  <mergeCells count="1">
    <mergeCell ref="A1:D1"/>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view="pageBreakPreview" zoomScaleNormal="70" topLeftCell="C1" workbookViewId="0">
      <selection activeCell="F9" sqref="F9"/>
    </sheetView>
  </sheetViews>
  <sheetFormatPr defaultColWidth="8.89166666666667" defaultRowHeight="12"/>
  <cols>
    <col min="1" max="1" width="10.3833333333333" style="1" customWidth="1"/>
    <col min="2" max="2" width="5.63333333333333" style="1" customWidth="1"/>
    <col min="3" max="3" width="14.5" style="1" customWidth="1"/>
    <col min="4" max="5" width="16.3833333333333" style="1" customWidth="1"/>
    <col min="6" max="6" width="33.8416666666667" style="1" customWidth="1"/>
    <col min="7" max="7" width="4.13333333333333" style="1" customWidth="1"/>
    <col min="8" max="8" width="5.5" style="1" customWidth="1"/>
    <col min="9" max="10" width="9.25833333333333" style="2" customWidth="1"/>
    <col min="11" max="11" width="16.8833333333333" style="15" customWidth="1"/>
    <col min="12" max="27" width="8.89166666666667" style="1"/>
    <col min="28" max="16380" width="15.5" style="1"/>
    <col min="16381" max="16384" width="8.89166666666667" style="1"/>
  </cols>
  <sheetData>
    <row r="1" ht="22.5" spans="1:11">
      <c r="A1" s="3" t="s">
        <v>184</v>
      </c>
      <c r="B1" s="3"/>
      <c r="C1" s="3"/>
      <c r="D1" s="3"/>
      <c r="E1" s="3"/>
      <c r="F1" s="3"/>
      <c r="G1" s="3"/>
      <c r="H1" s="3"/>
      <c r="I1" s="5"/>
      <c r="J1" s="5"/>
      <c r="K1" s="16"/>
    </row>
    <row r="2" ht="18.75" spans="1:11">
      <c r="A2" s="6" t="s">
        <v>185</v>
      </c>
      <c r="B2" s="6"/>
      <c r="C2" s="6"/>
      <c r="D2" s="6"/>
      <c r="E2" s="6"/>
      <c r="F2" s="6"/>
      <c r="G2" s="6"/>
      <c r="H2" s="6"/>
      <c r="I2" s="8"/>
      <c r="J2" s="8"/>
      <c r="K2" s="17"/>
    </row>
    <row r="3" spans="1:11">
      <c r="A3" s="14" t="s">
        <v>47</v>
      </c>
      <c r="B3" s="14" t="s">
        <v>48</v>
      </c>
      <c r="C3" s="14" t="s">
        <v>49</v>
      </c>
      <c r="D3" s="14" t="s">
        <v>50</v>
      </c>
      <c r="E3" s="14" t="s">
        <v>51</v>
      </c>
      <c r="F3" s="14" t="s">
        <v>52</v>
      </c>
      <c r="G3" s="14" t="s">
        <v>53</v>
      </c>
      <c r="H3" s="14" t="s">
        <v>55</v>
      </c>
      <c r="I3" s="23" t="s">
        <v>21</v>
      </c>
      <c r="J3" s="23"/>
      <c r="K3" s="14" t="s">
        <v>23</v>
      </c>
    </row>
    <row r="4" spans="1:11">
      <c r="A4" s="14" t="s">
        <v>56</v>
      </c>
      <c r="B4" s="14" t="s">
        <v>57</v>
      </c>
      <c r="C4" s="14" t="s">
        <v>58</v>
      </c>
      <c r="D4" s="14" t="s">
        <v>59</v>
      </c>
      <c r="E4" s="14" t="s">
        <v>60</v>
      </c>
      <c r="F4" s="14"/>
      <c r="G4" s="14" t="s">
        <v>61</v>
      </c>
      <c r="H4" s="14" t="s">
        <v>62</v>
      </c>
      <c r="I4" s="23" t="s">
        <v>63</v>
      </c>
      <c r="J4" s="23" t="s">
        <v>64</v>
      </c>
      <c r="K4" s="14" t="s">
        <v>65</v>
      </c>
    </row>
    <row r="5" ht="72" spans="1:11">
      <c r="A5" s="14" t="s">
        <v>66</v>
      </c>
      <c r="B5" s="14" t="s">
        <v>185</v>
      </c>
      <c r="C5" s="14" t="s">
        <v>186</v>
      </c>
      <c r="D5" s="14" t="str">
        <f>_xlfn.DISPIMG("ID_C3B9C7391963464880006EFE84F19D1F",1)</f>
        <v>=DISPIMG("ID_C3B9C7391963464880006EFE84F19D1F",1)</v>
      </c>
      <c r="E5" s="14" t="s">
        <v>187</v>
      </c>
      <c r="F5" s="20" t="s">
        <v>188</v>
      </c>
      <c r="G5" s="14" t="s">
        <v>70</v>
      </c>
      <c r="H5" s="14">
        <v>1</v>
      </c>
      <c r="I5" s="23"/>
      <c r="J5" s="23"/>
      <c r="K5" s="14" t="s">
        <v>71</v>
      </c>
    </row>
    <row r="6" ht="72" spans="1:11">
      <c r="A6" s="14" t="s">
        <v>72</v>
      </c>
      <c r="B6" s="14" t="s">
        <v>185</v>
      </c>
      <c r="C6" s="14" t="s">
        <v>189</v>
      </c>
      <c r="D6" s="14" t="str">
        <f>_xlfn.DISPIMG("ID_AA1DF274844B47B69212FBA67415BFDD",1)</f>
        <v>=DISPIMG("ID_AA1DF274844B47B69212FBA67415BFDD",1)</v>
      </c>
      <c r="E6" s="14" t="s">
        <v>190</v>
      </c>
      <c r="F6" s="20" t="s">
        <v>191</v>
      </c>
      <c r="G6" s="14" t="s">
        <v>70</v>
      </c>
      <c r="H6" s="14">
        <v>6</v>
      </c>
      <c r="I6" s="23"/>
      <c r="J6" s="23"/>
      <c r="K6" s="14" t="s">
        <v>71</v>
      </c>
    </row>
    <row r="7" ht="72" spans="1:20">
      <c r="A7" s="14" t="s">
        <v>76</v>
      </c>
      <c r="B7" s="14" t="s">
        <v>185</v>
      </c>
      <c r="C7" s="14" t="s">
        <v>192</v>
      </c>
      <c r="D7" s="14" t="str">
        <f>_xlfn.DISPIMG("ID_0A88EFB9ED374092974E4E4A5403D715",1)</f>
        <v>=DISPIMG("ID_0A88EFB9ED374092974E4E4A5403D715",1)</v>
      </c>
      <c r="E7" s="14" t="s">
        <v>193</v>
      </c>
      <c r="F7" s="20" t="s">
        <v>194</v>
      </c>
      <c r="G7" s="14" t="s">
        <v>195</v>
      </c>
      <c r="H7" s="14">
        <v>1</v>
      </c>
      <c r="I7" s="23"/>
      <c r="J7" s="23"/>
      <c r="K7" s="14" t="s">
        <v>71</v>
      </c>
      <c r="T7" s="29"/>
    </row>
    <row r="8" ht="72" spans="1:11">
      <c r="A8" s="14" t="s">
        <v>81</v>
      </c>
      <c r="B8" s="14" t="s">
        <v>185</v>
      </c>
      <c r="C8" s="14" t="s">
        <v>196</v>
      </c>
      <c r="D8" s="14" t="str">
        <f>_xlfn.DISPIMG("ID_B7E404EA7CC34D90B60C5B663429849A",1)</f>
        <v>=DISPIMG("ID_B7E404EA7CC34D90B60C5B663429849A",1)</v>
      </c>
      <c r="E8" s="14" t="s">
        <v>197</v>
      </c>
      <c r="F8" s="20" t="s">
        <v>198</v>
      </c>
      <c r="G8" s="14" t="s">
        <v>70</v>
      </c>
      <c r="H8" s="14">
        <v>1</v>
      </c>
      <c r="I8" s="23"/>
      <c r="J8" s="23"/>
      <c r="K8" s="14" t="s">
        <v>71</v>
      </c>
    </row>
    <row r="9" ht="108" spans="1:11">
      <c r="A9" s="14" t="s">
        <v>86</v>
      </c>
      <c r="B9" s="14" t="s">
        <v>185</v>
      </c>
      <c r="C9" s="14" t="s">
        <v>199</v>
      </c>
      <c r="D9" s="14" t="str">
        <f>_xlfn.DISPIMG("ID_26E065D9B39448949F3C003A6444E68C",1)</f>
        <v>=DISPIMG("ID_26E065D9B39448949F3C003A6444E68C",1)</v>
      </c>
      <c r="E9" s="14" t="s">
        <v>200</v>
      </c>
      <c r="F9" s="20" t="s">
        <v>201</v>
      </c>
      <c r="G9" s="14" t="s">
        <v>195</v>
      </c>
      <c r="H9" s="14">
        <v>2</v>
      </c>
      <c r="I9" s="23"/>
      <c r="J9" s="23"/>
      <c r="K9" s="14" t="s">
        <v>71</v>
      </c>
    </row>
    <row r="10" ht="72" spans="1:11">
      <c r="A10" s="14" t="s">
        <v>91</v>
      </c>
      <c r="B10" s="14" t="s">
        <v>185</v>
      </c>
      <c r="C10" s="14" t="s">
        <v>127</v>
      </c>
      <c r="D10" s="14" t="str">
        <f>_xlfn.DISPIMG("ID_21A4D33A0A4341989F7BEF816662FE35",1)</f>
        <v>=DISPIMG("ID_21A4D33A0A4341989F7BEF816662FE35",1)</v>
      </c>
      <c r="E10" s="14" t="s">
        <v>202</v>
      </c>
      <c r="F10" s="20" t="s">
        <v>203</v>
      </c>
      <c r="G10" s="14" t="s">
        <v>195</v>
      </c>
      <c r="H10" s="14">
        <v>1</v>
      </c>
      <c r="I10" s="23"/>
      <c r="J10" s="23"/>
      <c r="K10" s="14" t="s">
        <v>71</v>
      </c>
    </row>
    <row r="11" ht="72" spans="1:11">
      <c r="A11" s="14" t="s">
        <v>95</v>
      </c>
      <c r="B11" s="14" t="s">
        <v>185</v>
      </c>
      <c r="C11" s="14" t="s">
        <v>204</v>
      </c>
      <c r="D11" s="14" t="str">
        <f>_xlfn.DISPIMG("ID_7252D8ABFA674F1C82722B3D34BDDBD5",1)</f>
        <v>=DISPIMG("ID_7252D8ABFA674F1C82722B3D34BDDBD5",1)</v>
      </c>
      <c r="E11" s="14" t="s">
        <v>205</v>
      </c>
      <c r="F11" s="20" t="s">
        <v>206</v>
      </c>
      <c r="G11" s="14" t="s">
        <v>70</v>
      </c>
      <c r="H11" s="14">
        <v>1</v>
      </c>
      <c r="I11" s="23"/>
      <c r="J11" s="23"/>
      <c r="K11" s="14" t="s">
        <v>71</v>
      </c>
    </row>
    <row r="12" ht="72" spans="1:11">
      <c r="A12" s="14" t="s">
        <v>133</v>
      </c>
      <c r="B12" s="14" t="s">
        <v>185</v>
      </c>
      <c r="C12" s="14" t="s">
        <v>207</v>
      </c>
      <c r="D12" s="14" t="str">
        <f>_xlfn.DISPIMG("ID_E0A7B09B5D7845B7B1C827AA3B500CE8",1)</f>
        <v>=DISPIMG("ID_E0A7B09B5D7845B7B1C827AA3B500CE8",1)</v>
      </c>
      <c r="E12" s="14" t="s">
        <v>208</v>
      </c>
      <c r="F12" s="20" t="s">
        <v>209</v>
      </c>
      <c r="G12" s="14" t="s">
        <v>195</v>
      </c>
      <c r="H12" s="14">
        <v>1</v>
      </c>
      <c r="I12" s="23"/>
      <c r="J12" s="23"/>
      <c r="K12" s="14" t="s">
        <v>71</v>
      </c>
    </row>
    <row r="13" spans="1:11">
      <c r="A13" s="14" t="s">
        <v>210</v>
      </c>
      <c r="B13" s="14"/>
      <c r="C13" s="14"/>
      <c r="D13" s="14"/>
      <c r="E13" s="14"/>
      <c r="F13" s="20"/>
      <c r="G13" s="14"/>
      <c r="H13" s="14"/>
      <c r="I13" s="23"/>
      <c r="J13" s="23"/>
      <c r="K13" s="21"/>
    </row>
    <row r="14" ht="72" spans="1:11">
      <c r="A14" s="14" t="s">
        <v>211</v>
      </c>
      <c r="B14" s="14" t="s">
        <v>185</v>
      </c>
      <c r="C14" s="14" t="s">
        <v>212</v>
      </c>
      <c r="D14" s="14" t="str">
        <f>_xlfn.DISPIMG("ID_80934EFCF27F430999AC148D050F2A8B",1)</f>
        <v>=DISPIMG("ID_80934EFCF27F430999AC148D050F2A8B",1)</v>
      </c>
      <c r="E14" s="14" t="s">
        <v>213</v>
      </c>
      <c r="F14" s="20" t="s">
        <v>214</v>
      </c>
      <c r="G14" s="14" t="s">
        <v>195</v>
      </c>
      <c r="H14" s="14">
        <v>1</v>
      </c>
      <c r="I14" s="23"/>
      <c r="J14" s="23"/>
      <c r="K14" s="14" t="s">
        <v>71</v>
      </c>
    </row>
    <row r="15" spans="1:11">
      <c r="A15" s="14" t="s">
        <v>110</v>
      </c>
      <c r="B15" s="14"/>
      <c r="C15" s="14"/>
      <c r="D15" s="14"/>
      <c r="E15" s="14"/>
      <c r="F15" s="14"/>
      <c r="G15" s="14"/>
      <c r="H15" s="14"/>
      <c r="I15" s="23"/>
      <c r="J15" s="23"/>
      <c r="K15" s="21"/>
    </row>
  </sheetData>
  <mergeCells count="3">
    <mergeCell ref="A1:K1"/>
    <mergeCell ref="A2:K2"/>
    <mergeCell ref="I3:J3"/>
  </mergeCells>
  <pageMargins left="0.357638888888889" right="0.357638888888889" top="0.409027777777778" bottom="0.409027777777778" header="0.5" footer="0.5"/>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zoomScale="85" zoomScaleNormal="85" zoomScaleSheetLayoutView="80" workbookViewId="0">
      <selection activeCell="J8" sqref="J8"/>
    </sheetView>
  </sheetViews>
  <sheetFormatPr defaultColWidth="8.89166666666667" defaultRowHeight="12"/>
  <cols>
    <col min="1" max="1" width="6.75833333333333" style="1" customWidth="1"/>
    <col min="2" max="2" width="5.63333333333333" style="1" customWidth="1"/>
    <col min="3" max="3" width="14.0583333333333" style="1" customWidth="1"/>
    <col min="4" max="4" width="25.1333333333333" style="1" customWidth="1"/>
    <col min="5" max="5" width="16.3833333333333" style="1" customWidth="1"/>
    <col min="6" max="6" width="30.6416666666667" style="1" customWidth="1"/>
    <col min="7" max="7" width="4.13333333333333" style="1" customWidth="1"/>
    <col min="8" max="8" width="5.5" style="1" customWidth="1"/>
    <col min="9" max="10" width="9.25833333333333" style="2" customWidth="1"/>
    <col min="11" max="11" width="15.2583333333333" style="15" customWidth="1"/>
    <col min="12" max="16384" width="8.89166666666667" style="1"/>
  </cols>
  <sheetData>
    <row r="1" ht="22.5" spans="1:11">
      <c r="A1" s="3" t="str">
        <f>'4#大堂'!A1</f>
        <v>通航青年国际社区项目4至6号楼家具电器采购（公区）数量清单</v>
      </c>
      <c r="B1" s="3"/>
      <c r="C1" s="3"/>
      <c r="D1" s="3"/>
      <c r="E1" s="3"/>
      <c r="F1" s="3"/>
      <c r="G1" s="3"/>
      <c r="H1" s="3"/>
      <c r="I1" s="5"/>
      <c r="J1" s="5"/>
      <c r="K1" s="16"/>
    </row>
    <row r="2" spans="1:11">
      <c r="A2" s="22" t="s">
        <v>215</v>
      </c>
      <c r="B2" s="22"/>
      <c r="C2" s="22"/>
      <c r="D2" s="22"/>
      <c r="E2" s="22"/>
      <c r="F2" s="22"/>
      <c r="G2" s="22"/>
      <c r="H2" s="22"/>
      <c r="I2" s="27"/>
      <c r="J2" s="27"/>
      <c r="K2" s="28"/>
    </row>
    <row r="3" spans="1:11">
      <c r="A3" s="14" t="s">
        <v>47</v>
      </c>
      <c r="B3" s="14" t="s">
        <v>48</v>
      </c>
      <c r="C3" s="14" t="s">
        <v>49</v>
      </c>
      <c r="D3" s="14" t="s">
        <v>50</v>
      </c>
      <c r="E3" s="14" t="s">
        <v>51</v>
      </c>
      <c r="F3" s="14" t="s">
        <v>52</v>
      </c>
      <c r="G3" s="14" t="s">
        <v>53</v>
      </c>
      <c r="H3" s="14" t="s">
        <v>55</v>
      </c>
      <c r="I3" s="23" t="s">
        <v>21</v>
      </c>
      <c r="J3" s="23"/>
      <c r="K3" s="14" t="s">
        <v>23</v>
      </c>
    </row>
    <row r="4" spans="1:11">
      <c r="A4" s="14" t="s">
        <v>56</v>
      </c>
      <c r="B4" s="14" t="s">
        <v>57</v>
      </c>
      <c r="C4" s="14" t="s">
        <v>58</v>
      </c>
      <c r="D4" s="14" t="s">
        <v>59</v>
      </c>
      <c r="E4" s="14" t="s">
        <v>60</v>
      </c>
      <c r="F4" s="14"/>
      <c r="G4" s="14" t="s">
        <v>61</v>
      </c>
      <c r="H4" s="14" t="s">
        <v>62</v>
      </c>
      <c r="I4" s="23" t="s">
        <v>63</v>
      </c>
      <c r="J4" s="23" t="s">
        <v>64</v>
      </c>
      <c r="K4" s="14" t="s">
        <v>65</v>
      </c>
    </row>
    <row r="5" s="1" customFormat="1" ht="24" spans="1:11">
      <c r="A5" s="14" t="s">
        <v>66</v>
      </c>
      <c r="B5" s="14" t="s">
        <v>215</v>
      </c>
      <c r="C5" s="14" t="s">
        <v>216</v>
      </c>
      <c r="D5" s="14" t="str">
        <f>_xlfn.DISPIMG("ID_E25A9F9FC18F434CA900C35E4B10EF2A",1)</f>
        <v>=DISPIMG("ID_E25A9F9FC18F434CA900C35E4B10EF2A",1)</v>
      </c>
      <c r="E5" s="14" t="s">
        <v>217</v>
      </c>
      <c r="F5" s="20" t="s">
        <v>218</v>
      </c>
      <c r="G5" s="14" t="s">
        <v>195</v>
      </c>
      <c r="H5" s="14">
        <v>1</v>
      </c>
      <c r="I5" s="23"/>
      <c r="J5" s="23"/>
      <c r="K5" s="21" t="s">
        <v>219</v>
      </c>
    </row>
    <row r="6" ht="24" spans="1:11">
      <c r="A6" s="14" t="s">
        <v>72</v>
      </c>
      <c r="B6" s="14" t="s">
        <v>215</v>
      </c>
      <c r="C6" s="14" t="s">
        <v>220</v>
      </c>
      <c r="D6" s="14" t="str">
        <f>_xlfn.DISPIMG("ID_8F1A6A7FEBAC48D6B0D156AF8C0188B8",1)</f>
        <v>=DISPIMG("ID_8F1A6A7FEBAC48D6B0D156AF8C0188B8",1)</v>
      </c>
      <c r="E6" s="14" t="s">
        <v>221</v>
      </c>
      <c r="F6" s="20" t="s">
        <v>222</v>
      </c>
      <c r="G6" s="14" t="s">
        <v>195</v>
      </c>
      <c r="H6" s="14">
        <v>1</v>
      </c>
      <c r="I6" s="23"/>
      <c r="J6" s="23"/>
      <c r="K6" s="21" t="s">
        <v>219</v>
      </c>
    </row>
    <row r="7" ht="72" spans="1:11">
      <c r="A7" s="14" t="s">
        <v>76</v>
      </c>
      <c r="B7" s="14" t="s">
        <v>215</v>
      </c>
      <c r="C7" s="14" t="s">
        <v>196</v>
      </c>
      <c r="D7" s="14" t="str">
        <f>_xlfn.DISPIMG("ID_AFE100C7AEBC4895B40E9CBE26DAAB38",1)</f>
        <v>=DISPIMG("ID_AFE100C7AEBC4895B40E9CBE26DAAB38",1)</v>
      </c>
      <c r="E7" s="14" t="s">
        <v>197</v>
      </c>
      <c r="F7" s="20" t="s">
        <v>223</v>
      </c>
      <c r="G7" s="14" t="s">
        <v>70</v>
      </c>
      <c r="H7" s="14">
        <v>1</v>
      </c>
      <c r="I7" s="23"/>
      <c r="J7" s="23"/>
      <c r="K7" s="14" t="s">
        <v>71</v>
      </c>
    </row>
    <row r="8" ht="108" spans="1:11">
      <c r="A8" s="14" t="s">
        <v>81</v>
      </c>
      <c r="B8" s="14" t="s">
        <v>215</v>
      </c>
      <c r="C8" s="14" t="s">
        <v>199</v>
      </c>
      <c r="D8" s="14" t="str">
        <f>_xlfn.DISPIMG("ID_B1839B18DB7F4677A4CCD8FBE63726BA",1)</f>
        <v>=DISPIMG("ID_B1839B18DB7F4677A4CCD8FBE63726BA",1)</v>
      </c>
      <c r="E8" s="14" t="s">
        <v>200</v>
      </c>
      <c r="F8" s="20" t="s">
        <v>201</v>
      </c>
      <c r="G8" s="14" t="s">
        <v>195</v>
      </c>
      <c r="H8" s="14">
        <v>2</v>
      </c>
      <c r="I8" s="23"/>
      <c r="J8" s="23"/>
      <c r="K8" s="14" t="s">
        <v>71</v>
      </c>
    </row>
    <row r="9" ht="72" spans="1:11">
      <c r="A9" s="14" t="s">
        <v>86</v>
      </c>
      <c r="B9" s="14" t="s">
        <v>215</v>
      </c>
      <c r="C9" s="14" t="s">
        <v>207</v>
      </c>
      <c r="D9" s="14" t="str">
        <f>_xlfn.DISPIMG("ID_623563FCFC384A84A9A7A4AF8179498C",1)</f>
        <v>=DISPIMG("ID_623563FCFC384A84A9A7A4AF8179498C",1)</v>
      </c>
      <c r="E9" s="14" t="s">
        <v>208</v>
      </c>
      <c r="F9" s="20" t="s">
        <v>209</v>
      </c>
      <c r="G9" s="14" t="s">
        <v>195</v>
      </c>
      <c r="H9" s="14">
        <v>1</v>
      </c>
      <c r="I9" s="23"/>
      <c r="J9" s="23"/>
      <c r="K9" s="14" t="s">
        <v>71</v>
      </c>
    </row>
    <row r="10" ht="72" spans="1:11">
      <c r="A10" s="14" t="s">
        <v>91</v>
      </c>
      <c r="B10" s="14" t="s">
        <v>215</v>
      </c>
      <c r="C10" s="14" t="s">
        <v>127</v>
      </c>
      <c r="D10" s="14" t="str">
        <f>_xlfn.DISPIMG("ID_F2E517E62CAA415BB94317A89E51B48B",1)</f>
        <v>=DISPIMG("ID_F2E517E62CAA415BB94317A89E51B48B",1)</v>
      </c>
      <c r="E10" s="14" t="s">
        <v>202</v>
      </c>
      <c r="F10" s="20" t="s">
        <v>203</v>
      </c>
      <c r="G10" s="14" t="s">
        <v>195</v>
      </c>
      <c r="H10" s="14">
        <v>1</v>
      </c>
      <c r="I10" s="23"/>
      <c r="J10" s="23"/>
      <c r="K10" s="14" t="s">
        <v>71</v>
      </c>
    </row>
    <row r="11" ht="72" spans="1:11">
      <c r="A11" s="14" t="s">
        <v>95</v>
      </c>
      <c r="B11" s="14" t="s">
        <v>215</v>
      </c>
      <c r="C11" s="14" t="s">
        <v>204</v>
      </c>
      <c r="D11" s="14" t="str">
        <f>_xlfn.DISPIMG("ID_D18FEE28ACCA403DBA7C470525D4586C",1)</f>
        <v>=DISPIMG("ID_D18FEE28ACCA403DBA7C470525D4586C",1)</v>
      </c>
      <c r="E11" s="14" t="s">
        <v>205</v>
      </c>
      <c r="F11" s="20" t="s">
        <v>224</v>
      </c>
      <c r="G11" s="14" t="s">
        <v>70</v>
      </c>
      <c r="H11" s="14">
        <v>1</v>
      </c>
      <c r="I11" s="23"/>
      <c r="J11" s="23"/>
      <c r="K11" s="14" t="s">
        <v>71</v>
      </c>
    </row>
    <row r="12" spans="1:11">
      <c r="A12" s="14" t="s">
        <v>210</v>
      </c>
      <c r="B12" s="14"/>
      <c r="C12" s="14"/>
      <c r="D12" s="14"/>
      <c r="E12" s="14"/>
      <c r="F12" s="14"/>
      <c r="G12" s="14"/>
      <c r="H12" s="14"/>
      <c r="I12" s="23"/>
      <c r="J12" s="23"/>
      <c r="K12" s="21"/>
    </row>
    <row r="13" ht="72" spans="1:11">
      <c r="A13" s="14" t="s">
        <v>211</v>
      </c>
      <c r="B13" s="14" t="s">
        <v>215</v>
      </c>
      <c r="C13" s="14" t="s">
        <v>212</v>
      </c>
      <c r="D13" s="14" t="str">
        <f>_xlfn.DISPIMG("ID_B99F5B2ED9CF480790EDB37882C0C824",1)</f>
        <v>=DISPIMG("ID_B99F5B2ED9CF480790EDB37882C0C824",1)</v>
      </c>
      <c r="E13" s="14" t="s">
        <v>213</v>
      </c>
      <c r="F13" s="20" t="s">
        <v>214</v>
      </c>
      <c r="G13" s="14" t="s">
        <v>195</v>
      </c>
      <c r="H13" s="14">
        <v>1</v>
      </c>
      <c r="I13" s="23"/>
      <c r="J13" s="23"/>
      <c r="K13" s="14" t="s">
        <v>71</v>
      </c>
    </row>
    <row r="14" s="1" customFormat="1" spans="1:11">
      <c r="A14" s="9" t="s">
        <v>110</v>
      </c>
      <c r="B14" s="9"/>
      <c r="C14" s="9"/>
      <c r="D14" s="9"/>
      <c r="E14" s="9"/>
      <c r="F14" s="9"/>
      <c r="G14" s="9"/>
      <c r="H14" s="9"/>
      <c r="I14" s="10"/>
      <c r="J14" s="10"/>
      <c r="K14" s="19"/>
    </row>
    <row r="15" spans="1:11">
      <c r="A15" s="9"/>
      <c r="B15" s="9"/>
      <c r="C15" s="9"/>
      <c r="D15" s="9"/>
      <c r="E15" s="9"/>
      <c r="F15" s="9"/>
      <c r="G15" s="9"/>
      <c r="H15" s="9"/>
      <c r="I15" s="10"/>
      <c r="J15" s="10"/>
      <c r="K15" s="19"/>
    </row>
  </sheetData>
  <mergeCells count="4">
    <mergeCell ref="A1:K1"/>
    <mergeCell ref="A2:K2"/>
    <mergeCell ref="I3:J3"/>
    <mergeCell ref="A12:K12"/>
  </mergeCells>
  <pageMargins left="0.357638888888889" right="0.357638888888889" top="0.409027777777778" bottom="0.60625" header="0.5" footer="0.5"/>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view="pageBreakPreview" zoomScale="85" zoomScaleNormal="70" workbookViewId="0">
      <pane xSplit="2" ySplit="4" topLeftCell="C5" activePane="bottomRight" state="frozen"/>
      <selection/>
      <selection pane="topRight"/>
      <selection pane="bottomLeft"/>
      <selection pane="bottomRight" activeCell="G22" sqref="G22"/>
    </sheetView>
  </sheetViews>
  <sheetFormatPr defaultColWidth="8.89166666666667" defaultRowHeight="12"/>
  <cols>
    <col min="1" max="1" width="6.98333333333333" style="1" customWidth="1"/>
    <col min="2" max="2" width="12.3916666666667" style="1" customWidth="1"/>
    <col min="3" max="3" width="17.175" style="1" customWidth="1"/>
    <col min="4" max="4" width="23.925" style="1" customWidth="1"/>
    <col min="5" max="5" width="28.1083333333333" style="1" customWidth="1"/>
    <col min="6" max="6" width="16.2833333333333" style="1" customWidth="1"/>
    <col min="7" max="7" width="5.50833333333333" style="1" customWidth="1"/>
    <col min="8" max="8" width="9.90833333333333" style="1" customWidth="1"/>
    <col min="9" max="9" width="11.6083333333333" style="2" customWidth="1"/>
    <col min="10" max="10" width="11.7833333333333" style="2" customWidth="1"/>
    <col min="11" max="11" width="13.1083333333333" style="15" customWidth="1"/>
    <col min="12"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32</v>
      </c>
      <c r="B2" s="6"/>
      <c r="C2" s="6"/>
      <c r="D2" s="6"/>
      <c r="E2" s="6"/>
      <c r="F2" s="6"/>
      <c r="G2" s="6"/>
      <c r="H2" s="6"/>
      <c r="I2" s="8"/>
      <c r="J2" s="8"/>
      <c r="K2" s="17"/>
    </row>
    <row r="3" s="1" customFormat="1" spans="1:11">
      <c r="A3" s="14" t="s">
        <v>47</v>
      </c>
      <c r="B3" s="14" t="s">
        <v>48</v>
      </c>
      <c r="C3" s="14" t="s">
        <v>49</v>
      </c>
      <c r="D3" s="14" t="s">
        <v>50</v>
      </c>
      <c r="E3" s="14" t="s">
        <v>51</v>
      </c>
      <c r="F3" s="14" t="s">
        <v>52</v>
      </c>
      <c r="G3" s="14" t="s">
        <v>53</v>
      </c>
      <c r="H3" s="14" t="s">
        <v>55</v>
      </c>
      <c r="I3" s="23" t="s">
        <v>21</v>
      </c>
      <c r="J3" s="23"/>
      <c r="K3" s="14" t="s">
        <v>23</v>
      </c>
    </row>
    <row r="4" s="1" customFormat="1" spans="1:11">
      <c r="A4" s="14" t="s">
        <v>56</v>
      </c>
      <c r="B4" s="14" t="s">
        <v>57</v>
      </c>
      <c r="C4" s="14" t="s">
        <v>58</v>
      </c>
      <c r="D4" s="14" t="s">
        <v>59</v>
      </c>
      <c r="E4" s="14" t="s">
        <v>60</v>
      </c>
      <c r="F4" s="14"/>
      <c r="G4" s="14" t="s">
        <v>61</v>
      </c>
      <c r="H4" s="14" t="s">
        <v>62</v>
      </c>
      <c r="I4" s="23" t="s">
        <v>63</v>
      </c>
      <c r="J4" s="23" t="s">
        <v>64</v>
      </c>
      <c r="K4" s="14" t="s">
        <v>65</v>
      </c>
    </row>
    <row r="5" spans="1:11">
      <c r="A5" s="14" t="s">
        <v>99</v>
      </c>
      <c r="B5" s="14"/>
      <c r="C5" s="14"/>
      <c r="D5" s="14"/>
      <c r="E5" s="14"/>
      <c r="F5" s="14"/>
      <c r="G5" s="14"/>
      <c r="H5" s="14"/>
      <c r="I5" s="23"/>
      <c r="J5" s="23"/>
      <c r="K5" s="21"/>
    </row>
    <row r="6" ht="48" spans="1:11">
      <c r="A6" s="14" t="s">
        <v>100</v>
      </c>
      <c r="B6" s="14" t="s">
        <v>32</v>
      </c>
      <c r="C6" s="14" t="s">
        <v>181</v>
      </c>
      <c r="D6" s="14" t="str">
        <f>_xlfn.DISPIMG("ID_2BBE25A12515454BB9AD2693CCBCAB50",1)</f>
        <v>=DISPIMG("ID_2BBE25A12515454BB9AD2693CCBCAB50",1)</v>
      </c>
      <c r="E6" s="14" t="s">
        <v>225</v>
      </c>
      <c r="F6" s="14" t="s">
        <v>226</v>
      </c>
      <c r="G6" s="14" t="s">
        <v>70</v>
      </c>
      <c r="H6" s="14">
        <v>1</v>
      </c>
      <c r="I6" s="23"/>
      <c r="J6" s="23"/>
      <c r="K6" s="21" t="s">
        <v>227</v>
      </c>
    </row>
    <row r="7" s="1" customFormat="1" spans="1:11">
      <c r="A7" s="9" t="s">
        <v>110</v>
      </c>
      <c r="B7" s="9"/>
      <c r="C7" s="9"/>
      <c r="D7" s="9"/>
      <c r="E7" s="9"/>
      <c r="F7" s="9"/>
      <c r="G7" s="9"/>
      <c r="H7" s="9"/>
      <c r="I7" s="10"/>
      <c r="J7" s="10"/>
      <c r="K7" s="19"/>
    </row>
    <row r="8" spans="1:11">
      <c r="A8" s="9"/>
      <c r="B8" s="9"/>
      <c r="C8" s="9"/>
      <c r="D8" s="9"/>
      <c r="E8" s="9"/>
      <c r="F8" s="9"/>
      <c r="G8" s="9"/>
      <c r="H8" s="9"/>
      <c r="I8" s="10"/>
      <c r="J8" s="10"/>
      <c r="K8" s="19"/>
    </row>
    <row r="9" spans="1:11">
      <c r="A9" s="9"/>
      <c r="B9" s="9"/>
      <c r="C9" s="9"/>
      <c r="D9" s="9"/>
      <c r="E9" s="9"/>
      <c r="F9" s="9"/>
      <c r="G9" s="9"/>
      <c r="H9" s="9"/>
      <c r="I9" s="10"/>
      <c r="J9" s="10"/>
      <c r="K9" s="19"/>
    </row>
    <row r="10" spans="1:11">
      <c r="A10" s="9"/>
      <c r="B10" s="9"/>
      <c r="C10" s="9"/>
      <c r="D10" s="9"/>
      <c r="E10" s="9"/>
      <c r="F10" s="9"/>
      <c r="G10" s="9"/>
      <c r="H10" s="9"/>
      <c r="I10" s="10"/>
      <c r="J10" s="10"/>
      <c r="K10" s="19"/>
    </row>
    <row r="11" spans="1:11">
      <c r="A11" s="9"/>
      <c r="B11" s="9"/>
      <c r="C11" s="9"/>
      <c r="D11" s="9"/>
      <c r="E11" s="9"/>
      <c r="F11" s="9"/>
      <c r="G11" s="9"/>
      <c r="H11" s="9"/>
      <c r="I11" s="10"/>
      <c r="J11" s="10"/>
      <c r="K11" s="19"/>
    </row>
    <row r="12" spans="1:11">
      <c r="A12" s="9"/>
      <c r="B12" s="9"/>
      <c r="C12" s="9"/>
      <c r="D12" s="9"/>
      <c r="E12" s="9"/>
      <c r="F12" s="9"/>
      <c r="G12" s="9"/>
      <c r="H12" s="9"/>
      <c r="I12" s="10"/>
      <c r="J12" s="10"/>
      <c r="K12" s="19"/>
    </row>
    <row r="13" spans="1:11">
      <c r="A13" s="9"/>
      <c r="B13" s="9"/>
      <c r="C13" s="9"/>
      <c r="D13" s="9"/>
      <c r="E13" s="9"/>
      <c r="F13" s="9"/>
      <c r="G13" s="9"/>
      <c r="H13" s="9"/>
      <c r="I13" s="10"/>
      <c r="J13" s="10"/>
      <c r="K13" s="19"/>
    </row>
    <row r="14" spans="1:11">
      <c r="A14" s="9"/>
      <c r="B14" s="9"/>
      <c r="C14" s="9"/>
      <c r="D14" s="9"/>
      <c r="E14" s="9"/>
      <c r="F14" s="9"/>
      <c r="G14" s="9"/>
      <c r="H14" s="9"/>
      <c r="I14" s="10"/>
      <c r="J14" s="10"/>
      <c r="K14" s="19"/>
    </row>
    <row r="15" spans="1:11">
      <c r="A15" s="9"/>
      <c r="B15" s="9"/>
      <c r="C15" s="9"/>
      <c r="D15" s="9"/>
      <c r="E15" s="9"/>
      <c r="F15" s="9"/>
      <c r="G15" s="9"/>
      <c r="H15" s="9"/>
      <c r="I15" s="10"/>
      <c r="J15" s="10"/>
      <c r="K15" s="19"/>
    </row>
  </sheetData>
  <mergeCells count="4">
    <mergeCell ref="A1:K1"/>
    <mergeCell ref="A2:K2"/>
    <mergeCell ref="I3:J3"/>
    <mergeCell ref="A5:K5"/>
  </mergeCells>
  <pageMargins left="0.357638888888889" right="0.357638888888889" top="0.409027777777778" bottom="0.409027777777778" header="0.5" footer="0.5"/>
  <pageSetup paperSize="9" scale="91"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view="pageBreakPreview" zoomScale="85" zoomScaleNormal="70" workbookViewId="0">
      <selection activeCell="F10" sqref="F10"/>
    </sheetView>
  </sheetViews>
  <sheetFormatPr defaultColWidth="8.89166666666667" defaultRowHeight="12"/>
  <cols>
    <col min="1" max="1" width="6.75833333333333" style="1" customWidth="1"/>
    <col min="2" max="2" width="5.63333333333333" style="1" customWidth="1"/>
    <col min="3" max="3" width="11.2583333333333" style="1" customWidth="1"/>
    <col min="4" max="4" width="24.2583333333333" style="1" customWidth="1"/>
    <col min="5" max="5" width="16.3833333333333" style="1" customWidth="1"/>
    <col min="6" max="6" width="28.1916666666667" style="1" customWidth="1"/>
    <col min="7" max="7" width="4.13333333333333" style="1" customWidth="1"/>
    <col min="8" max="8" width="5.5" style="1" customWidth="1"/>
    <col min="9" max="10" width="9.25833333333333" style="2" customWidth="1"/>
    <col min="11" max="11" width="23.3833333333333" style="15" customWidth="1"/>
    <col min="12" max="27" width="8.89166666666667" style="1"/>
    <col min="28" max="16380" width="18.6" style="1"/>
    <col min="16381"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228</v>
      </c>
      <c r="B2" s="6"/>
      <c r="C2" s="6"/>
      <c r="D2" s="6"/>
      <c r="E2" s="6"/>
      <c r="F2" s="6"/>
      <c r="G2" s="6"/>
      <c r="H2" s="6"/>
      <c r="I2" s="8"/>
      <c r="J2" s="8"/>
      <c r="K2" s="17"/>
    </row>
    <row r="3" s="1" customFormat="1" spans="1:11">
      <c r="A3" s="9" t="s">
        <v>47</v>
      </c>
      <c r="B3" s="14" t="s">
        <v>48</v>
      </c>
      <c r="C3" s="14" t="s">
        <v>49</v>
      </c>
      <c r="D3" s="14" t="s">
        <v>50</v>
      </c>
      <c r="E3" s="14" t="s">
        <v>51</v>
      </c>
      <c r="F3" s="14" t="s">
        <v>52</v>
      </c>
      <c r="G3" s="14" t="s">
        <v>53</v>
      </c>
      <c r="H3" s="14" t="s">
        <v>55</v>
      </c>
      <c r="I3" s="23" t="s">
        <v>21</v>
      </c>
      <c r="J3" s="23"/>
      <c r="K3" s="14" t="s">
        <v>23</v>
      </c>
    </row>
    <row r="4" s="1" customFormat="1" spans="1:11">
      <c r="A4" s="9" t="s">
        <v>56</v>
      </c>
      <c r="B4" s="14" t="s">
        <v>57</v>
      </c>
      <c r="C4" s="14" t="s">
        <v>58</v>
      </c>
      <c r="D4" s="14" t="s">
        <v>59</v>
      </c>
      <c r="E4" s="14" t="s">
        <v>60</v>
      </c>
      <c r="F4" s="14"/>
      <c r="G4" s="14" t="s">
        <v>61</v>
      </c>
      <c r="H4" s="14" t="s">
        <v>62</v>
      </c>
      <c r="I4" s="23" t="s">
        <v>63</v>
      </c>
      <c r="J4" s="23" t="s">
        <v>64</v>
      </c>
      <c r="K4" s="14" t="s">
        <v>65</v>
      </c>
    </row>
    <row r="5" ht="84" spans="1:11">
      <c r="A5" s="9" t="s">
        <v>66</v>
      </c>
      <c r="B5" s="14" t="s">
        <v>228</v>
      </c>
      <c r="C5" s="14" t="s">
        <v>196</v>
      </c>
      <c r="D5" s="14" t="str">
        <f>_xlfn.DISPIMG("ID_A9287CE19A8E4DC9922AA2235250992B",1)</f>
        <v>=DISPIMG("ID_A9287CE19A8E4DC9922AA2235250992B",1)</v>
      </c>
      <c r="E5" s="14" t="s">
        <v>197</v>
      </c>
      <c r="F5" s="20" t="s">
        <v>229</v>
      </c>
      <c r="G5" s="14" t="s">
        <v>70</v>
      </c>
      <c r="H5" s="14">
        <v>1</v>
      </c>
      <c r="I5" s="23"/>
      <c r="J5" s="23"/>
      <c r="K5" s="21" t="s">
        <v>230</v>
      </c>
    </row>
    <row r="6" ht="132" spans="1:11">
      <c r="A6" s="9" t="s">
        <v>72</v>
      </c>
      <c r="B6" s="14" t="s">
        <v>228</v>
      </c>
      <c r="C6" s="14" t="s">
        <v>199</v>
      </c>
      <c r="D6" s="14" t="str">
        <f>_xlfn.DISPIMG("ID_82610BEF90F941F3ACEC9B7168A5ED5E",1)</f>
        <v>=DISPIMG("ID_82610BEF90F941F3ACEC9B7168A5ED5E",1)</v>
      </c>
      <c r="E6" s="14" t="s">
        <v>200</v>
      </c>
      <c r="F6" s="20" t="s">
        <v>201</v>
      </c>
      <c r="G6" s="14" t="s">
        <v>195</v>
      </c>
      <c r="H6" s="14">
        <v>2</v>
      </c>
      <c r="I6" s="23"/>
      <c r="J6" s="23"/>
      <c r="K6" s="21" t="s">
        <v>230</v>
      </c>
    </row>
    <row r="7" ht="48" spans="1:11">
      <c r="A7" s="9" t="s">
        <v>76</v>
      </c>
      <c r="B7" s="14" t="s">
        <v>228</v>
      </c>
      <c r="C7" s="14" t="s">
        <v>127</v>
      </c>
      <c r="D7" s="14" t="str">
        <f>_xlfn.DISPIMG("ID_CB01FBB35774498997E40575491F8ADC",1)</f>
        <v>=DISPIMG("ID_CB01FBB35774498997E40575491F8ADC",1)</v>
      </c>
      <c r="E7" s="14" t="s">
        <v>202</v>
      </c>
      <c r="F7" s="20" t="s">
        <v>231</v>
      </c>
      <c r="G7" s="14" t="s">
        <v>195</v>
      </c>
      <c r="H7" s="14">
        <v>1</v>
      </c>
      <c r="I7" s="23"/>
      <c r="J7" s="23"/>
      <c r="K7" s="21" t="s">
        <v>230</v>
      </c>
    </row>
    <row r="8" ht="36" spans="1:11">
      <c r="A8" s="9" t="s">
        <v>81</v>
      </c>
      <c r="B8" s="14" t="s">
        <v>228</v>
      </c>
      <c r="C8" s="14" t="s">
        <v>207</v>
      </c>
      <c r="D8" s="14" t="str">
        <f>_xlfn.DISPIMG("ID_5D4417011BF94B41921046765420CA73",1)</f>
        <v>=DISPIMG("ID_5D4417011BF94B41921046765420CA73",1)</v>
      </c>
      <c r="E8" s="14" t="s">
        <v>208</v>
      </c>
      <c r="F8" s="20" t="s">
        <v>209</v>
      </c>
      <c r="G8" s="14" t="s">
        <v>195</v>
      </c>
      <c r="H8" s="14">
        <v>1</v>
      </c>
      <c r="I8" s="23"/>
      <c r="J8" s="23"/>
      <c r="K8" s="21" t="s">
        <v>230</v>
      </c>
    </row>
    <row r="9" ht="84" spans="1:11">
      <c r="A9" s="9" t="s">
        <v>86</v>
      </c>
      <c r="B9" s="14" t="s">
        <v>228</v>
      </c>
      <c r="C9" s="14" t="s">
        <v>156</v>
      </c>
      <c r="D9" s="14" t="str">
        <f>_xlfn.DISPIMG("ID_F1E8E646586E415283FC87C047EBF2AF",1)</f>
        <v>=DISPIMG("ID_F1E8E646586E415283FC87C047EBF2AF",1)</v>
      </c>
      <c r="E9" s="14" t="s">
        <v>232</v>
      </c>
      <c r="F9" s="20" t="s">
        <v>223</v>
      </c>
      <c r="G9" s="14" t="s">
        <v>195</v>
      </c>
      <c r="H9" s="14">
        <v>8</v>
      </c>
      <c r="I9" s="23"/>
      <c r="J9" s="23"/>
      <c r="K9" s="21" t="s">
        <v>230</v>
      </c>
    </row>
    <row r="10" ht="60" spans="1:11">
      <c r="A10" s="9" t="s">
        <v>91</v>
      </c>
      <c r="B10" s="14" t="s">
        <v>228</v>
      </c>
      <c r="C10" s="14" t="s">
        <v>154</v>
      </c>
      <c r="D10" s="14" t="str">
        <f>_xlfn.DISPIMG("ID_C2FDFFA43C184EFE8247BC5D42E88D09",1)</f>
        <v>=DISPIMG("ID_C2FDFFA43C184EFE8247BC5D42E88D09",1)</v>
      </c>
      <c r="E10" s="14" t="s">
        <v>233</v>
      </c>
      <c r="F10" s="20" t="s">
        <v>234</v>
      </c>
      <c r="G10" s="14" t="s">
        <v>195</v>
      </c>
      <c r="H10" s="14">
        <v>2</v>
      </c>
      <c r="I10" s="23"/>
      <c r="J10" s="23"/>
      <c r="K10" s="14" t="s">
        <v>71</v>
      </c>
    </row>
    <row r="11" ht="48" spans="1:11">
      <c r="A11" s="9" t="s">
        <v>95</v>
      </c>
      <c r="B11" s="14" t="s">
        <v>228</v>
      </c>
      <c r="C11" s="14" t="s">
        <v>204</v>
      </c>
      <c r="D11" s="14" t="str">
        <f>_xlfn.DISPIMG("ID_EC2A2A7487594831AB82CEC3CD3F2B0D",1)</f>
        <v>=DISPIMG("ID_EC2A2A7487594831AB82CEC3CD3F2B0D",1)</v>
      </c>
      <c r="E11" s="14" t="s">
        <v>205</v>
      </c>
      <c r="F11" s="20" t="s">
        <v>224</v>
      </c>
      <c r="G11" s="14" t="s">
        <v>70</v>
      </c>
      <c r="H11" s="14">
        <v>1</v>
      </c>
      <c r="I11" s="23"/>
      <c r="J11" s="23"/>
      <c r="K11" s="14" t="s">
        <v>71</v>
      </c>
    </row>
    <row r="12" ht="24" spans="1:11">
      <c r="A12" s="9" t="s">
        <v>210</v>
      </c>
      <c r="B12" s="14"/>
      <c r="C12" s="14"/>
      <c r="D12" s="14"/>
      <c r="E12" s="14"/>
      <c r="F12" s="24"/>
      <c r="G12" s="14"/>
      <c r="H12" s="14"/>
      <c r="I12" s="23"/>
      <c r="J12" s="23"/>
      <c r="K12" s="26"/>
    </row>
    <row r="13" ht="48" spans="1:11">
      <c r="A13" s="9" t="s">
        <v>211</v>
      </c>
      <c r="B13" s="14" t="s">
        <v>228</v>
      </c>
      <c r="C13" s="14" t="s">
        <v>212</v>
      </c>
      <c r="D13" s="14" t="str">
        <f>_xlfn.DISPIMG("ID_F7A5B67BF9FA48B7A695464D235B74BB",1)</f>
        <v>=DISPIMG("ID_F7A5B67BF9FA48B7A695464D235B74BB",1)</v>
      </c>
      <c r="E13" s="14" t="s">
        <v>213</v>
      </c>
      <c r="F13" s="25" t="s">
        <v>214</v>
      </c>
      <c r="G13" s="14" t="s">
        <v>195</v>
      </c>
      <c r="H13" s="14">
        <v>1</v>
      </c>
      <c r="I13" s="23"/>
      <c r="J13" s="23"/>
      <c r="K13" s="14" t="s">
        <v>71</v>
      </c>
    </row>
    <row r="14" s="1" customFormat="1" spans="1:11">
      <c r="A14" s="9" t="s">
        <v>110</v>
      </c>
      <c r="B14" s="14"/>
      <c r="C14" s="14"/>
      <c r="D14" s="14"/>
      <c r="E14" s="14"/>
      <c r="F14" s="14"/>
      <c r="G14" s="14"/>
      <c r="H14" s="14"/>
      <c r="I14" s="23"/>
      <c r="J14" s="23"/>
      <c r="K14" s="21"/>
    </row>
    <row r="15" spans="1:11">
      <c r="A15" s="9"/>
      <c r="B15" s="9"/>
      <c r="C15" s="9"/>
      <c r="D15" s="9"/>
      <c r="E15" s="9"/>
      <c r="F15" s="9"/>
      <c r="G15" s="9"/>
      <c r="H15" s="9"/>
      <c r="I15" s="10"/>
      <c r="J15" s="10"/>
      <c r="K15" s="19"/>
    </row>
  </sheetData>
  <mergeCells count="3">
    <mergeCell ref="A1:K1"/>
    <mergeCell ref="A2:K2"/>
    <mergeCell ref="I3:J3"/>
  </mergeCells>
  <pageMargins left="0.357638888888889" right="0.357638888888889" top="0.409027777777778" bottom="0.409027777777778" header="0.5" footer="0.5"/>
  <pageSetup paperSize="9" scale="9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view="pageBreakPreview" zoomScaleNormal="70" topLeftCell="C1" workbookViewId="0">
      <selection activeCell="F13" sqref="F13"/>
    </sheetView>
  </sheetViews>
  <sheetFormatPr defaultColWidth="8.89166666666667" defaultRowHeight="12"/>
  <cols>
    <col min="1" max="1" width="4.88333333333333" style="1" customWidth="1"/>
    <col min="2" max="2" width="14.5" style="1" customWidth="1"/>
    <col min="3" max="3" width="7.13333333333333" style="1" customWidth="1"/>
    <col min="4" max="4" width="19.1333333333333" style="1" customWidth="1"/>
    <col min="5" max="5" width="17" style="1" customWidth="1"/>
    <col min="6" max="6" width="36.4666666666667" style="1" customWidth="1"/>
    <col min="7" max="7" width="4.13333333333333" style="1" customWidth="1"/>
    <col min="8" max="8" width="5.5" style="1" customWidth="1"/>
    <col min="9" max="9" width="8.23333333333333" style="2" customWidth="1"/>
    <col min="10" max="10" width="10.7166666666667" style="2" customWidth="1"/>
    <col min="11" max="11" width="12" style="15" customWidth="1"/>
    <col min="12" max="12" width="11.7333333333333" style="1"/>
    <col min="13"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34</v>
      </c>
      <c r="B2" s="6"/>
      <c r="C2" s="6"/>
      <c r="D2" s="6"/>
      <c r="E2" s="6"/>
      <c r="F2" s="6"/>
      <c r="G2" s="6"/>
      <c r="H2" s="6"/>
      <c r="I2" s="8"/>
      <c r="J2" s="8"/>
      <c r="K2" s="17"/>
    </row>
    <row r="3" s="1" customFormat="1" spans="1:11">
      <c r="A3" s="14" t="s">
        <v>47</v>
      </c>
      <c r="B3" s="14" t="s">
        <v>48</v>
      </c>
      <c r="C3" s="14" t="s">
        <v>49</v>
      </c>
      <c r="D3" s="14" t="s">
        <v>50</v>
      </c>
      <c r="E3" s="14" t="s">
        <v>51</v>
      </c>
      <c r="F3" s="14" t="s">
        <v>52</v>
      </c>
      <c r="G3" s="14" t="s">
        <v>53</v>
      </c>
      <c r="H3" s="14" t="s">
        <v>55</v>
      </c>
      <c r="I3" s="23" t="s">
        <v>21</v>
      </c>
      <c r="J3" s="23"/>
      <c r="K3" s="14" t="s">
        <v>23</v>
      </c>
    </row>
    <row r="4" s="1" customFormat="1" spans="1:11">
      <c r="A4" s="14" t="s">
        <v>56</v>
      </c>
      <c r="B4" s="14" t="s">
        <v>57</v>
      </c>
      <c r="C4" s="14" t="s">
        <v>58</v>
      </c>
      <c r="D4" s="14" t="s">
        <v>59</v>
      </c>
      <c r="E4" s="14" t="s">
        <v>60</v>
      </c>
      <c r="F4" s="14"/>
      <c r="G4" s="14" t="s">
        <v>61</v>
      </c>
      <c r="H4" s="14" t="s">
        <v>62</v>
      </c>
      <c r="I4" s="23" t="s">
        <v>63</v>
      </c>
      <c r="J4" s="23" t="s">
        <v>64</v>
      </c>
      <c r="K4" s="14" t="s">
        <v>65</v>
      </c>
    </row>
    <row r="5" ht="144" spans="1:11">
      <c r="A5" s="14" t="s">
        <v>66</v>
      </c>
      <c r="B5" s="14" t="s">
        <v>235</v>
      </c>
      <c r="C5" s="14" t="s">
        <v>236</v>
      </c>
      <c r="D5" s="14" t="str">
        <f>_xlfn.DISPIMG("ID_8F348FAB60BC4EB38BBDF3DF07C2CBEA",1)</f>
        <v>=DISPIMG("ID_8F348FAB60BC4EB38BBDF3DF07C2CBEA",1)</v>
      </c>
      <c r="E5" s="14" t="s">
        <v>237</v>
      </c>
      <c r="F5" s="20" t="s">
        <v>238</v>
      </c>
      <c r="G5" s="14" t="s">
        <v>85</v>
      </c>
      <c r="H5" s="14">
        <v>4</v>
      </c>
      <c r="I5" s="23"/>
      <c r="J5" s="23"/>
      <c r="K5" s="21" t="s">
        <v>71</v>
      </c>
    </row>
    <row r="6" ht="120" spans="1:11">
      <c r="A6" s="14" t="s">
        <v>72</v>
      </c>
      <c r="B6" s="14" t="s">
        <v>235</v>
      </c>
      <c r="C6" s="14" t="s">
        <v>239</v>
      </c>
      <c r="D6" s="22" t="str">
        <f>_xlfn.DISPIMG("ID_23CE03B8168145BBB795F05ABA7B3123",1)</f>
        <v>=DISPIMG("ID_23CE03B8168145BBB795F05ABA7B3123",1)</v>
      </c>
      <c r="E6" s="14" t="s">
        <v>240</v>
      </c>
      <c r="F6" s="20" t="s">
        <v>241</v>
      </c>
      <c r="G6" s="14" t="s">
        <v>80</v>
      </c>
      <c r="H6" s="14">
        <v>6</v>
      </c>
      <c r="I6" s="23"/>
      <c r="J6" s="23"/>
      <c r="K6" s="21"/>
    </row>
    <row r="7" s="1" customFormat="1" spans="1:11">
      <c r="A7" s="9" t="s">
        <v>110</v>
      </c>
      <c r="B7" s="9"/>
      <c r="C7" s="9"/>
      <c r="D7" s="9"/>
      <c r="E7" s="9"/>
      <c r="F7" s="9"/>
      <c r="G7" s="9"/>
      <c r="H7" s="9"/>
      <c r="I7" s="10"/>
      <c r="J7" s="10"/>
      <c r="K7" s="19"/>
    </row>
    <row r="8" spans="1:11">
      <c r="A8" s="9"/>
      <c r="B8" s="9"/>
      <c r="C8" s="9"/>
      <c r="D8" s="9"/>
      <c r="E8" s="9"/>
      <c r="F8" s="9"/>
      <c r="G8" s="9"/>
      <c r="H8" s="9"/>
      <c r="I8" s="10"/>
      <c r="J8" s="10"/>
      <c r="K8" s="19"/>
    </row>
    <row r="9" spans="1:11">
      <c r="A9" s="9"/>
      <c r="B9" s="9"/>
      <c r="C9" s="9"/>
      <c r="D9" s="9"/>
      <c r="E9" s="9"/>
      <c r="F9" s="9"/>
      <c r="G9" s="9"/>
      <c r="H9" s="9"/>
      <c r="I9" s="10"/>
      <c r="J9" s="10"/>
      <c r="K9" s="19"/>
    </row>
    <row r="10" spans="1:11">
      <c r="A10" s="9"/>
      <c r="B10" s="9"/>
      <c r="C10" s="9"/>
      <c r="D10" s="9"/>
      <c r="E10" s="9"/>
      <c r="F10" s="9"/>
      <c r="G10" s="9"/>
      <c r="H10" s="9"/>
      <c r="I10" s="10"/>
      <c r="J10" s="10"/>
      <c r="K10" s="19"/>
    </row>
    <row r="11" spans="1:11">
      <c r="A11" s="9"/>
      <c r="B11" s="9"/>
      <c r="C11" s="9"/>
      <c r="D11" s="9"/>
      <c r="E11" s="9"/>
      <c r="F11" s="9"/>
      <c r="G11" s="9"/>
      <c r="H11" s="9"/>
      <c r="I11" s="10"/>
      <c r="J11" s="10"/>
      <c r="K11" s="19"/>
    </row>
    <row r="12" spans="1:11">
      <c r="A12" s="9"/>
      <c r="B12" s="9"/>
      <c r="C12" s="9"/>
      <c r="D12" s="9"/>
      <c r="E12" s="9"/>
      <c r="F12" s="9"/>
      <c r="G12" s="9"/>
      <c r="H12" s="9"/>
      <c r="I12" s="10"/>
      <c r="J12" s="10"/>
      <c r="K12" s="19"/>
    </row>
    <row r="13" spans="1:11">
      <c r="A13" s="9"/>
      <c r="B13" s="9"/>
      <c r="C13" s="9"/>
      <c r="D13" s="9"/>
      <c r="E13" s="9"/>
      <c r="F13" s="9"/>
      <c r="G13" s="9"/>
      <c r="H13" s="9"/>
      <c r="I13" s="10"/>
      <c r="J13" s="10"/>
      <c r="K13" s="19"/>
    </row>
    <row r="14" spans="1:11">
      <c r="A14" s="9"/>
      <c r="B14" s="9"/>
      <c r="C14" s="9"/>
      <c r="D14" s="9"/>
      <c r="E14" s="9"/>
      <c r="F14" s="9"/>
      <c r="G14" s="9"/>
      <c r="H14" s="9"/>
      <c r="I14" s="10"/>
      <c r="J14" s="10"/>
      <c r="K14" s="19"/>
    </row>
    <row r="15" spans="1:11">
      <c r="A15" s="9"/>
      <c r="B15" s="9"/>
      <c r="C15" s="9"/>
      <c r="D15" s="9"/>
      <c r="E15" s="9"/>
      <c r="F15" s="9"/>
      <c r="G15" s="9"/>
      <c r="H15" s="9"/>
      <c r="I15" s="10"/>
      <c r="J15" s="10"/>
      <c r="K15" s="19"/>
    </row>
  </sheetData>
  <mergeCells count="4">
    <mergeCell ref="A1:K1"/>
    <mergeCell ref="A2:K2"/>
    <mergeCell ref="I3:J3"/>
    <mergeCell ref="K5:K6"/>
  </mergeCells>
  <pageMargins left="0.357638888888889" right="0.357638888888889" top="0.409027777777778" bottom="0.409027777777778" header="0.5" footer="0.5"/>
  <pageSetup paperSize="9"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view="pageBreakPreview" zoomScaleNormal="70" workbookViewId="0">
      <selection activeCell="F8" sqref="F8"/>
    </sheetView>
  </sheetViews>
  <sheetFormatPr defaultColWidth="8.89166666666667" defaultRowHeight="12"/>
  <cols>
    <col min="1" max="3" width="7.5" style="1" customWidth="1"/>
    <col min="4" max="4" width="22.5" style="1" customWidth="1"/>
    <col min="5" max="5" width="11.775" style="1" customWidth="1"/>
    <col min="6" max="6" width="35.775" style="1" customWidth="1"/>
    <col min="7" max="7" width="5.175" style="1" customWidth="1"/>
    <col min="8" max="8" width="9.90833333333333" style="1" customWidth="1"/>
    <col min="9" max="10" width="8.98333333333333" style="2" customWidth="1"/>
    <col min="11" max="11" width="13.1083333333333" style="15" customWidth="1"/>
    <col min="12"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35</v>
      </c>
      <c r="B2" s="6"/>
      <c r="C2" s="6"/>
      <c r="D2" s="6"/>
      <c r="E2" s="6"/>
      <c r="F2" s="6"/>
      <c r="G2" s="6"/>
      <c r="H2" s="6"/>
      <c r="I2" s="8"/>
      <c r="J2" s="8"/>
      <c r="K2" s="17"/>
    </row>
    <row r="3" s="1" customFormat="1" spans="1:11">
      <c r="A3" s="9" t="s">
        <v>47</v>
      </c>
      <c r="B3" s="9" t="s">
        <v>48</v>
      </c>
      <c r="C3" s="9" t="s">
        <v>49</v>
      </c>
      <c r="D3" s="9" t="s">
        <v>50</v>
      </c>
      <c r="E3" s="9" t="s">
        <v>51</v>
      </c>
      <c r="F3" s="9" t="s">
        <v>52</v>
      </c>
      <c r="G3" s="9" t="s">
        <v>53</v>
      </c>
      <c r="H3" s="9" t="s">
        <v>55</v>
      </c>
      <c r="I3" s="10" t="s">
        <v>21</v>
      </c>
      <c r="J3" s="10"/>
      <c r="K3" s="9" t="s">
        <v>23</v>
      </c>
    </row>
    <row r="4" s="1" customFormat="1" ht="24" spans="1:11">
      <c r="A4" s="9" t="s">
        <v>56</v>
      </c>
      <c r="B4" s="9" t="s">
        <v>57</v>
      </c>
      <c r="C4" s="9" t="s">
        <v>58</v>
      </c>
      <c r="D4" s="9" t="s">
        <v>59</v>
      </c>
      <c r="E4" s="9" t="s">
        <v>60</v>
      </c>
      <c r="F4" s="9"/>
      <c r="G4" s="9" t="s">
        <v>61</v>
      </c>
      <c r="H4" s="9" t="s">
        <v>62</v>
      </c>
      <c r="I4" s="10" t="s">
        <v>63</v>
      </c>
      <c r="J4" s="10" t="s">
        <v>64</v>
      </c>
      <c r="K4" s="9" t="s">
        <v>65</v>
      </c>
    </row>
    <row r="5" ht="168" spans="1:11">
      <c r="A5" s="9" t="s">
        <v>66</v>
      </c>
      <c r="B5" s="9" t="s">
        <v>242</v>
      </c>
      <c r="C5" s="14" t="s">
        <v>243</v>
      </c>
      <c r="D5" s="9" t="str">
        <f>_xlfn.DISPIMG("ID_F86633CD0DE24F6CA8715E35C3884E0E",1)</f>
        <v>=DISPIMG("ID_F86633CD0DE24F6CA8715E35C3884E0E",1)</v>
      </c>
      <c r="E5" s="9" t="s">
        <v>244</v>
      </c>
      <c r="F5" s="20" t="s">
        <v>245</v>
      </c>
      <c r="G5" s="14" t="s">
        <v>85</v>
      </c>
      <c r="H5" s="9">
        <v>4</v>
      </c>
      <c r="I5" s="10"/>
      <c r="J5" s="10"/>
      <c r="K5" s="21" t="s">
        <v>71</v>
      </c>
    </row>
    <row r="6" ht="24" spans="1:11">
      <c r="A6" s="9" t="s">
        <v>72</v>
      </c>
      <c r="B6" s="9" t="s">
        <v>246</v>
      </c>
      <c r="C6" s="14" t="s">
        <v>247</v>
      </c>
      <c r="D6" s="9" t="str">
        <f>_xlfn.DISPIMG("ID_6E45742078E04E0C80E7A0557D9C7094",1)</f>
        <v>=DISPIMG("ID_6E45742078E04E0C80E7A0557D9C7094",1)</v>
      </c>
      <c r="E6" s="9" t="s">
        <v>248</v>
      </c>
      <c r="F6" s="20" t="s">
        <v>249</v>
      </c>
      <c r="G6" s="9" t="s">
        <v>85</v>
      </c>
      <c r="H6" s="9">
        <v>1</v>
      </c>
      <c r="I6" s="10"/>
      <c r="J6" s="10"/>
      <c r="K6" s="21"/>
    </row>
    <row r="7" ht="24" spans="1:11">
      <c r="A7" s="9" t="s">
        <v>76</v>
      </c>
      <c r="B7" s="9" t="s">
        <v>250</v>
      </c>
      <c r="C7" s="14" t="s">
        <v>247</v>
      </c>
      <c r="D7" s="9" t="str">
        <f>_xlfn.DISPIMG("ID_A048ACC7D4764898901863F0BDCF677E",1)</f>
        <v>=DISPIMG("ID_A048ACC7D4764898901863F0BDCF677E",1)</v>
      </c>
      <c r="E7" s="9" t="s">
        <v>248</v>
      </c>
      <c r="F7" s="20" t="s">
        <v>249</v>
      </c>
      <c r="G7" s="14" t="s">
        <v>85</v>
      </c>
      <c r="H7" s="9">
        <v>1</v>
      </c>
      <c r="I7" s="10"/>
      <c r="J7" s="10"/>
      <c r="K7" s="21" t="s">
        <v>251</v>
      </c>
    </row>
    <row r="8" ht="168" spans="1:11">
      <c r="A8" s="9" t="s">
        <v>81</v>
      </c>
      <c r="B8" s="9" t="s">
        <v>246</v>
      </c>
      <c r="C8" s="14" t="s">
        <v>252</v>
      </c>
      <c r="D8" s="9" t="str">
        <f>_xlfn.DISPIMG("ID_D54DAB28F1FA4E4DBE5EB8727485FD79",1)</f>
        <v>=DISPIMG("ID_D54DAB28F1FA4E4DBE5EB8727485FD79",1)</v>
      </c>
      <c r="E8" s="9" t="s">
        <v>253</v>
      </c>
      <c r="F8" s="20" t="s">
        <v>245</v>
      </c>
      <c r="G8" s="9" t="s">
        <v>70</v>
      </c>
      <c r="H8" s="9">
        <v>1</v>
      </c>
      <c r="I8" s="10"/>
      <c r="J8" s="10"/>
      <c r="K8" s="21"/>
    </row>
    <row r="9" ht="168" spans="1:11">
      <c r="A9" s="9" t="s">
        <v>86</v>
      </c>
      <c r="B9" s="9" t="s">
        <v>250</v>
      </c>
      <c r="C9" s="14" t="s">
        <v>252</v>
      </c>
      <c r="D9" s="9" t="str">
        <f>_xlfn.DISPIMG("ID_A3A7546186A44E93BFAECE37AD9B337C",1)</f>
        <v>=DISPIMG("ID_A3A7546186A44E93BFAECE37AD9B337C",1)</v>
      </c>
      <c r="E9" s="9" t="s">
        <v>253</v>
      </c>
      <c r="F9" s="20" t="s">
        <v>245</v>
      </c>
      <c r="G9" s="9" t="s">
        <v>85</v>
      </c>
      <c r="H9" s="9">
        <v>1</v>
      </c>
      <c r="I9" s="10"/>
      <c r="J9" s="10"/>
      <c r="K9" s="21"/>
    </row>
    <row r="10" s="1" customFormat="1" spans="1:11">
      <c r="A10" s="9" t="s">
        <v>110</v>
      </c>
      <c r="B10" s="9"/>
      <c r="C10" s="9"/>
      <c r="D10" s="9"/>
      <c r="E10" s="9"/>
      <c r="F10" s="9"/>
      <c r="G10" s="9"/>
      <c r="H10" s="9"/>
      <c r="I10" s="10"/>
      <c r="J10" s="10"/>
      <c r="K10" s="19"/>
    </row>
    <row r="11" spans="1:11">
      <c r="A11" s="9"/>
      <c r="B11" s="9"/>
      <c r="C11" s="9"/>
      <c r="D11" s="9"/>
      <c r="E11" s="9"/>
      <c r="F11" s="9"/>
      <c r="G11" s="9"/>
      <c r="H11" s="9"/>
      <c r="I11" s="10"/>
      <c r="J11" s="10"/>
      <c r="K11" s="19"/>
    </row>
    <row r="12" spans="1:11">
      <c r="A12" s="9"/>
      <c r="B12" s="9"/>
      <c r="C12" s="9"/>
      <c r="D12" s="9"/>
      <c r="E12" s="9"/>
      <c r="F12" s="9"/>
      <c r="G12" s="9"/>
      <c r="H12" s="9"/>
      <c r="I12" s="10"/>
      <c r="J12" s="10"/>
      <c r="K12" s="19"/>
    </row>
    <row r="13" spans="1:11">
      <c r="A13" s="9"/>
      <c r="B13" s="9"/>
      <c r="C13" s="9"/>
      <c r="D13" s="9"/>
      <c r="E13" s="9"/>
      <c r="F13" s="9"/>
      <c r="G13" s="9"/>
      <c r="H13" s="9"/>
      <c r="I13" s="10"/>
      <c r="J13" s="10"/>
      <c r="K13" s="19"/>
    </row>
    <row r="14" spans="1:11">
      <c r="A14" s="9"/>
      <c r="B14" s="9"/>
      <c r="C14" s="9"/>
      <c r="D14" s="9"/>
      <c r="E14" s="9"/>
      <c r="F14" s="9"/>
      <c r="G14" s="9"/>
      <c r="H14" s="9"/>
      <c r="I14" s="10"/>
      <c r="J14" s="10"/>
      <c r="K14" s="19"/>
    </row>
    <row r="15" spans="1:11">
      <c r="A15" s="9"/>
      <c r="B15" s="9"/>
      <c r="C15" s="9"/>
      <c r="D15" s="9"/>
      <c r="E15" s="9"/>
      <c r="F15" s="9"/>
      <c r="G15" s="9"/>
      <c r="H15" s="9"/>
      <c r="I15" s="10"/>
      <c r="J15" s="10"/>
      <c r="K15" s="19"/>
    </row>
  </sheetData>
  <mergeCells count="4">
    <mergeCell ref="A1:K1"/>
    <mergeCell ref="A2:K2"/>
    <mergeCell ref="I3:J3"/>
    <mergeCell ref="K5:K9"/>
  </mergeCells>
  <pageMargins left="0.357638888888889" right="0.357638888888889" top="0.409027777777778" bottom="0.409027777777778" header="0.5" footer="0.5"/>
  <pageSetup paperSize="9"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view="pageBreakPreview" zoomScaleNormal="70" workbookViewId="0">
      <selection activeCell="H9" sqref="H9:H10"/>
    </sheetView>
  </sheetViews>
  <sheetFormatPr defaultColWidth="8.89166666666667" defaultRowHeight="12"/>
  <cols>
    <col min="1" max="1" width="9.10833333333333" style="1" customWidth="1"/>
    <col min="2" max="2" width="9.1" style="1" customWidth="1"/>
    <col min="3" max="3" width="13.0333333333333" style="1" customWidth="1"/>
    <col min="4" max="4" width="16.7833333333333" style="1" customWidth="1"/>
    <col min="5" max="5" width="13.575" style="1" customWidth="1"/>
    <col min="6" max="6" width="40.9166666666667" style="1" customWidth="1"/>
    <col min="7" max="7" width="7.6" style="1" customWidth="1"/>
    <col min="8" max="8" width="9.90833333333333" style="1" customWidth="1"/>
    <col min="9" max="10" width="10.6916666666667" style="2" customWidth="1"/>
    <col min="11" max="11" width="11.4416666666667" style="15" customWidth="1"/>
    <col min="12" max="14" width="8.89166666666667" style="1"/>
    <col min="15" max="15" width="12.6333333333333" style="1"/>
    <col min="16"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36</v>
      </c>
      <c r="B2" s="6"/>
      <c r="C2" s="6"/>
      <c r="D2" s="6"/>
      <c r="E2" s="6"/>
      <c r="F2" s="6"/>
      <c r="G2" s="6"/>
      <c r="H2" s="6"/>
      <c r="I2" s="8"/>
      <c r="J2" s="8"/>
      <c r="K2" s="17"/>
    </row>
    <row r="3" s="1" customFormat="1" spans="1:11">
      <c r="A3" s="9" t="s">
        <v>47</v>
      </c>
      <c r="B3" s="9" t="s">
        <v>48</v>
      </c>
      <c r="C3" s="9" t="s">
        <v>49</v>
      </c>
      <c r="D3" s="9" t="s">
        <v>50</v>
      </c>
      <c r="E3" s="9" t="s">
        <v>51</v>
      </c>
      <c r="F3" s="9" t="s">
        <v>52</v>
      </c>
      <c r="G3" s="9" t="s">
        <v>53</v>
      </c>
      <c r="H3" s="9" t="s">
        <v>55</v>
      </c>
      <c r="I3" s="10" t="s">
        <v>21</v>
      </c>
      <c r="J3" s="10"/>
      <c r="K3" s="9" t="s">
        <v>23</v>
      </c>
    </row>
    <row r="4" s="1" customFormat="1" spans="1:11">
      <c r="A4" s="9" t="s">
        <v>56</v>
      </c>
      <c r="B4" s="9" t="s">
        <v>57</v>
      </c>
      <c r="C4" s="9" t="s">
        <v>58</v>
      </c>
      <c r="D4" s="9" t="s">
        <v>59</v>
      </c>
      <c r="E4" s="9" t="s">
        <v>60</v>
      </c>
      <c r="F4" s="9"/>
      <c r="G4" s="9" t="s">
        <v>61</v>
      </c>
      <c r="H4" s="9" t="s">
        <v>62</v>
      </c>
      <c r="I4" s="10" t="s">
        <v>63</v>
      </c>
      <c r="J4" s="10" t="s">
        <v>64</v>
      </c>
      <c r="K4" s="9" t="s">
        <v>65</v>
      </c>
    </row>
    <row r="5" ht="60" spans="1:11">
      <c r="A5" s="9" t="s">
        <v>66</v>
      </c>
      <c r="B5" s="9" t="s">
        <v>254</v>
      </c>
      <c r="C5" s="14" t="s">
        <v>255</v>
      </c>
      <c r="D5" s="9" t="str">
        <f>_xlfn.DISPIMG("ID_2B4E4795A6CA4EC099C7E5E0C5258C69",1)</f>
        <v>=DISPIMG("ID_2B4E4795A6CA4EC099C7E5E0C5258C69",1)</v>
      </c>
      <c r="E5" s="9" t="s">
        <v>256</v>
      </c>
      <c r="F5" s="11" t="s">
        <v>257</v>
      </c>
      <c r="G5" s="14" t="s">
        <v>85</v>
      </c>
      <c r="H5" s="9">
        <v>8</v>
      </c>
      <c r="I5" s="10"/>
      <c r="J5" s="10"/>
      <c r="K5" s="19" t="s">
        <v>71</v>
      </c>
    </row>
    <row r="6" ht="60" spans="1:11">
      <c r="A6" s="9" t="s">
        <v>72</v>
      </c>
      <c r="B6" s="9" t="s">
        <v>258</v>
      </c>
      <c r="C6" s="14" t="s">
        <v>255</v>
      </c>
      <c r="D6" s="9" t="str">
        <f>_xlfn.DISPIMG("ID_36183AA3DE1B4B58A5F4083587C21DED",1)</f>
        <v>=DISPIMG("ID_36183AA3DE1B4B58A5F4083587C21DED",1)</v>
      </c>
      <c r="E6" s="9" t="s">
        <v>256</v>
      </c>
      <c r="F6" s="11" t="s">
        <v>259</v>
      </c>
      <c r="G6" s="14" t="s">
        <v>85</v>
      </c>
      <c r="H6" s="9">
        <v>8</v>
      </c>
      <c r="I6" s="10"/>
      <c r="J6" s="10"/>
      <c r="K6" s="19"/>
    </row>
    <row r="7" ht="60" spans="1:11">
      <c r="A7" s="9" t="s">
        <v>76</v>
      </c>
      <c r="B7" s="9" t="s">
        <v>260</v>
      </c>
      <c r="C7" s="14" t="s">
        <v>255</v>
      </c>
      <c r="D7" s="9" t="str">
        <f>_xlfn.DISPIMG("ID_383D3BB7AA684BA7BC3EB9A525D316A4",1)</f>
        <v>=DISPIMG("ID_383D3BB7AA684BA7BC3EB9A525D316A4",1)</v>
      </c>
      <c r="E7" s="9" t="s">
        <v>256</v>
      </c>
      <c r="F7" s="11" t="s">
        <v>259</v>
      </c>
      <c r="G7" s="14" t="s">
        <v>85</v>
      </c>
      <c r="H7" s="9">
        <v>8</v>
      </c>
      <c r="I7" s="10"/>
      <c r="J7" s="10"/>
      <c r="K7" s="19"/>
    </row>
    <row r="8" s="1" customFormat="1" spans="1:11">
      <c r="A8" s="9" t="s">
        <v>110</v>
      </c>
      <c r="B8" s="9"/>
      <c r="C8" s="9"/>
      <c r="D8" s="9"/>
      <c r="E8" s="9"/>
      <c r="F8" s="9"/>
      <c r="G8" s="9"/>
      <c r="H8" s="9"/>
      <c r="I8" s="10"/>
      <c r="J8" s="10"/>
      <c r="K8" s="19"/>
    </row>
    <row r="9" spans="1:11">
      <c r="A9" s="9"/>
      <c r="B9" s="9"/>
      <c r="C9" s="9"/>
      <c r="D9" s="9"/>
      <c r="E9" s="9"/>
      <c r="F9" s="9"/>
      <c r="G9" s="9"/>
      <c r="H9" s="9"/>
      <c r="I9" s="10"/>
      <c r="J9" s="10"/>
      <c r="K9" s="19"/>
    </row>
    <row r="10" spans="1:11">
      <c r="A10" s="9"/>
      <c r="B10" s="9"/>
      <c r="C10" s="9"/>
      <c r="D10" s="9"/>
      <c r="E10" s="9"/>
      <c r="F10" s="9"/>
      <c r="G10" s="9"/>
      <c r="H10" s="9"/>
      <c r="I10" s="10"/>
      <c r="J10" s="10"/>
      <c r="K10" s="19"/>
    </row>
    <row r="11" spans="1:11">
      <c r="A11" s="9"/>
      <c r="B11" s="9"/>
      <c r="C11" s="9"/>
      <c r="D11" s="9"/>
      <c r="E11" s="9"/>
      <c r="F11" s="9"/>
      <c r="G11" s="9"/>
      <c r="H11" s="9"/>
      <c r="I11" s="10"/>
      <c r="J11" s="10"/>
      <c r="K11" s="19"/>
    </row>
    <row r="12" spans="1:11">
      <c r="A12" s="9"/>
      <c r="B12" s="9"/>
      <c r="C12" s="9"/>
      <c r="D12" s="9"/>
      <c r="E12" s="9"/>
      <c r="F12" s="9"/>
      <c r="G12" s="9"/>
      <c r="H12" s="9"/>
      <c r="I12" s="10"/>
      <c r="J12" s="10"/>
      <c r="K12" s="19"/>
    </row>
    <row r="13" spans="1:11">
      <c r="A13" s="9"/>
      <c r="B13" s="9"/>
      <c r="C13" s="9"/>
      <c r="D13" s="9"/>
      <c r="E13" s="9"/>
      <c r="F13" s="9"/>
      <c r="G13" s="9"/>
      <c r="H13" s="9"/>
      <c r="I13" s="10"/>
      <c r="J13" s="10"/>
      <c r="K13" s="19"/>
    </row>
    <row r="14" spans="1:11">
      <c r="A14" s="9"/>
      <c r="B14" s="9"/>
      <c r="C14" s="9"/>
      <c r="D14" s="9"/>
      <c r="E14" s="9"/>
      <c r="F14" s="9"/>
      <c r="G14" s="9"/>
      <c r="H14" s="9"/>
      <c r="I14" s="10"/>
      <c r="J14" s="10"/>
      <c r="K14" s="19"/>
    </row>
    <row r="15" spans="1:11">
      <c r="A15" s="9"/>
      <c r="B15" s="9"/>
      <c r="C15" s="9"/>
      <c r="D15" s="9"/>
      <c r="E15" s="9"/>
      <c r="F15" s="9"/>
      <c r="G15" s="9"/>
      <c r="H15" s="9"/>
      <c r="I15" s="10"/>
      <c r="J15" s="10"/>
      <c r="K15" s="19"/>
    </row>
  </sheetData>
  <mergeCells count="4">
    <mergeCell ref="A1:K1"/>
    <mergeCell ref="A2:K2"/>
    <mergeCell ref="I3:J3"/>
    <mergeCell ref="K5:K7"/>
  </mergeCells>
  <pageMargins left="0.357638888888889" right="0.357638888888889" top="0.409027777777778" bottom="0.409027777777778" header="0.5" footer="0.5"/>
  <pageSetup paperSize="9" scale="93"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view="pageBreakPreview" zoomScale="115" zoomScaleNormal="70" topLeftCell="D1" workbookViewId="0">
      <selection activeCell="F22" sqref="F22"/>
    </sheetView>
  </sheetViews>
  <sheetFormatPr defaultColWidth="8.89166666666667" defaultRowHeight="12"/>
  <cols>
    <col min="1" max="1" width="7.13333333333333" style="1" customWidth="1"/>
    <col min="2" max="2" width="9.44166666666667" style="1" customWidth="1"/>
    <col min="3" max="3" width="12.8583333333333" style="1" customWidth="1"/>
    <col min="4" max="4" width="16.7833333333333" style="1" customWidth="1"/>
    <col min="5" max="5" width="14.2833333333333" style="1" customWidth="1"/>
    <col min="6" max="6" width="44.2" style="1" customWidth="1"/>
    <col min="7" max="7" width="7.6" style="1" customWidth="1"/>
    <col min="8" max="8" width="7.31666666666667" style="1" customWidth="1"/>
    <col min="9" max="10" width="10.6916666666667" style="2" customWidth="1"/>
    <col min="11" max="11" width="10.6916666666667" style="15" customWidth="1"/>
    <col min="12" max="12" width="11.7333333333333" style="1"/>
    <col min="13"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37</v>
      </c>
      <c r="B2" s="6"/>
      <c r="C2" s="6"/>
      <c r="D2" s="6"/>
      <c r="E2" s="6"/>
      <c r="F2" s="6"/>
      <c r="G2" s="6"/>
      <c r="H2" s="6"/>
      <c r="I2" s="8"/>
      <c r="J2" s="8"/>
      <c r="K2" s="17"/>
    </row>
    <row r="3" s="1" customFormat="1" spans="1:11">
      <c r="A3" s="9" t="s">
        <v>47</v>
      </c>
      <c r="B3" s="9" t="s">
        <v>48</v>
      </c>
      <c r="C3" s="9" t="s">
        <v>49</v>
      </c>
      <c r="D3" s="9" t="s">
        <v>50</v>
      </c>
      <c r="E3" s="9" t="s">
        <v>51</v>
      </c>
      <c r="F3" s="9" t="s">
        <v>52</v>
      </c>
      <c r="G3" s="9" t="s">
        <v>53</v>
      </c>
      <c r="H3" s="9" t="s">
        <v>55</v>
      </c>
      <c r="I3" s="10" t="s">
        <v>21</v>
      </c>
      <c r="J3" s="10"/>
      <c r="K3" s="9" t="s">
        <v>23</v>
      </c>
    </row>
    <row r="4" s="1" customFormat="1" spans="1:11">
      <c r="A4" s="9" t="s">
        <v>56</v>
      </c>
      <c r="B4" s="9" t="s">
        <v>57</v>
      </c>
      <c r="C4" s="9" t="s">
        <v>58</v>
      </c>
      <c r="D4" s="9" t="s">
        <v>59</v>
      </c>
      <c r="E4" s="9" t="s">
        <v>60</v>
      </c>
      <c r="F4" s="9"/>
      <c r="G4" s="9" t="s">
        <v>61</v>
      </c>
      <c r="H4" s="9" t="s">
        <v>62</v>
      </c>
      <c r="I4" s="10" t="s">
        <v>63</v>
      </c>
      <c r="J4" s="10" t="s">
        <v>64</v>
      </c>
      <c r="K4" s="9" t="s">
        <v>65</v>
      </c>
    </row>
    <row r="5" ht="60" spans="1:11">
      <c r="A5" s="9" t="s">
        <v>66</v>
      </c>
      <c r="B5" s="9" t="s">
        <v>261</v>
      </c>
      <c r="C5" s="14" t="s">
        <v>262</v>
      </c>
      <c r="D5" s="9" t="str">
        <f>_xlfn.DISPIMG("ID_CC2CCE3C0AA64E599238619346CD1D0D",1)</f>
        <v>=DISPIMG("ID_CC2CCE3C0AA64E599238619346CD1D0D",1)</v>
      </c>
      <c r="E5" s="9" t="s">
        <v>256</v>
      </c>
      <c r="F5" s="11" t="s">
        <v>263</v>
      </c>
      <c r="G5" s="14" t="s">
        <v>85</v>
      </c>
      <c r="H5" s="9">
        <v>9</v>
      </c>
      <c r="I5" s="10"/>
      <c r="J5" s="10"/>
      <c r="K5" s="19" t="s">
        <v>71</v>
      </c>
    </row>
    <row r="6" ht="60" spans="1:11">
      <c r="A6" s="9" t="s">
        <v>72</v>
      </c>
      <c r="B6" s="9" t="s">
        <v>264</v>
      </c>
      <c r="C6" s="14" t="s">
        <v>262</v>
      </c>
      <c r="D6" s="9" t="str">
        <f>_xlfn.DISPIMG("ID_5D4E9AABE9564B4087099564613DB6A4",1)</f>
        <v>=DISPIMG("ID_5D4E9AABE9564B4087099564613DB6A4",1)</v>
      </c>
      <c r="E6" s="9" t="s">
        <v>256</v>
      </c>
      <c r="F6" s="11" t="s">
        <v>263</v>
      </c>
      <c r="G6" s="9" t="s">
        <v>85</v>
      </c>
      <c r="H6" s="9">
        <v>9</v>
      </c>
      <c r="I6" s="10"/>
      <c r="J6" s="10"/>
      <c r="K6" s="19"/>
    </row>
    <row r="7" ht="60" spans="1:11">
      <c r="A7" s="9" t="s">
        <v>76</v>
      </c>
      <c r="B7" s="9" t="s">
        <v>265</v>
      </c>
      <c r="C7" s="14" t="s">
        <v>262</v>
      </c>
      <c r="D7" s="9" t="str">
        <f>_xlfn.DISPIMG("ID_00894393335A4E9BAA14157B902D02FA",1)</f>
        <v>=DISPIMG("ID_00894393335A4E9BAA14157B902D02FA",1)</v>
      </c>
      <c r="E7" s="9" t="s">
        <v>256</v>
      </c>
      <c r="F7" s="11" t="s">
        <v>263</v>
      </c>
      <c r="G7" s="9" t="s">
        <v>85</v>
      </c>
      <c r="H7" s="9">
        <v>9</v>
      </c>
      <c r="I7" s="10"/>
      <c r="J7" s="10"/>
      <c r="K7" s="19"/>
    </row>
    <row r="8" s="1" customFormat="1" spans="1:11">
      <c r="A8" s="9" t="s">
        <v>110</v>
      </c>
      <c r="B8" s="9"/>
      <c r="C8" s="9"/>
      <c r="D8" s="9"/>
      <c r="E8" s="9"/>
      <c r="F8" s="9"/>
      <c r="G8" s="9"/>
      <c r="H8" s="9"/>
      <c r="I8" s="10"/>
      <c r="J8" s="10"/>
      <c r="K8" s="19"/>
    </row>
    <row r="9" spans="1:11">
      <c r="A9" s="9"/>
      <c r="B9" s="9"/>
      <c r="C9" s="9"/>
      <c r="D9" s="9"/>
      <c r="E9" s="9"/>
      <c r="F9" s="9"/>
      <c r="G9" s="9"/>
      <c r="H9" s="9"/>
      <c r="I9" s="10"/>
      <c r="J9" s="10"/>
      <c r="K9" s="19"/>
    </row>
    <row r="10" spans="1:11">
      <c r="A10" s="9"/>
      <c r="B10" s="9"/>
      <c r="C10" s="9"/>
      <c r="D10" s="9"/>
      <c r="E10" s="9"/>
      <c r="F10" s="9"/>
      <c r="G10" s="9"/>
      <c r="H10" s="9"/>
      <c r="I10" s="10"/>
      <c r="J10" s="10"/>
      <c r="K10" s="19"/>
    </row>
    <row r="11" spans="1:11">
      <c r="A11" s="9"/>
      <c r="B11" s="9"/>
      <c r="C11" s="9"/>
      <c r="D11" s="9"/>
      <c r="E11" s="9"/>
      <c r="F11" s="9"/>
      <c r="G11" s="9"/>
      <c r="H11" s="9"/>
      <c r="I11" s="10"/>
      <c r="J11" s="10"/>
      <c r="K11" s="19"/>
    </row>
    <row r="12" spans="1:11">
      <c r="A12" s="9"/>
      <c r="B12" s="9"/>
      <c r="C12" s="9"/>
      <c r="D12" s="9"/>
      <c r="E12" s="9"/>
      <c r="F12" s="9"/>
      <c r="G12" s="9"/>
      <c r="H12" s="9"/>
      <c r="I12" s="10"/>
      <c r="J12" s="10"/>
      <c r="K12" s="19"/>
    </row>
    <row r="13" spans="1:11">
      <c r="A13" s="9"/>
      <c r="B13" s="9"/>
      <c r="C13" s="9"/>
      <c r="D13" s="9"/>
      <c r="E13" s="9"/>
      <c r="F13" s="9"/>
      <c r="G13" s="9"/>
      <c r="H13" s="9"/>
      <c r="I13" s="10"/>
      <c r="J13" s="10"/>
      <c r="K13" s="19"/>
    </row>
    <row r="14" spans="1:11">
      <c r="A14" s="9"/>
      <c r="B14" s="9"/>
      <c r="C14" s="9"/>
      <c r="D14" s="9"/>
      <c r="E14" s="9"/>
      <c r="F14" s="9"/>
      <c r="G14" s="9"/>
      <c r="H14" s="9"/>
      <c r="I14" s="10"/>
      <c r="J14" s="10"/>
      <c r="K14" s="19"/>
    </row>
    <row r="15" spans="1:11">
      <c r="A15" s="9"/>
      <c r="B15" s="9"/>
      <c r="C15" s="9"/>
      <c r="D15" s="9"/>
      <c r="E15" s="9"/>
      <c r="F15" s="9"/>
      <c r="G15" s="9"/>
      <c r="H15" s="9"/>
      <c r="I15" s="10"/>
      <c r="J15" s="10"/>
      <c r="K15" s="19"/>
    </row>
  </sheetData>
  <mergeCells count="4">
    <mergeCell ref="A1:K1"/>
    <mergeCell ref="A2:K2"/>
    <mergeCell ref="I3:J3"/>
    <mergeCell ref="K5:K7"/>
  </mergeCells>
  <pageMargins left="0.357638888888889" right="0.357638888888889" top="0.409027777777778" bottom="0.118055555555556" header="0.5" footer="0.236111111111111"/>
  <pageSetup paperSize="9" scale="94"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view="pageBreakPreview" zoomScale="130" zoomScaleNormal="70" workbookViewId="0">
      <pane xSplit="1" ySplit="4" topLeftCell="C5" activePane="bottomRight" state="frozen"/>
      <selection/>
      <selection pane="topRight"/>
      <selection pane="bottomLeft"/>
      <selection pane="bottomRight" activeCell="F6" sqref="F6"/>
    </sheetView>
  </sheetViews>
  <sheetFormatPr defaultColWidth="8.89166666666667" defaultRowHeight="12"/>
  <cols>
    <col min="1" max="1" width="7.5" style="1" customWidth="1"/>
    <col min="2" max="2" width="10.7" style="1" customWidth="1"/>
    <col min="3" max="3" width="14.275" style="1" customWidth="1"/>
    <col min="4" max="4" width="18.0333333333333" style="1" customWidth="1"/>
    <col min="5" max="5" width="14.4416666666667" style="1" customWidth="1"/>
    <col min="6" max="6" width="41.3083333333333" style="1" customWidth="1"/>
    <col min="7" max="7" width="6.60833333333333" style="1" customWidth="1"/>
    <col min="8" max="8" width="9.90833333333333" style="1" customWidth="1"/>
    <col min="9" max="10" width="10.2583333333333" style="2" customWidth="1"/>
    <col min="11" max="11" width="11.8666666666667" style="15" customWidth="1"/>
    <col min="12" max="16384" width="8.89166666666667" style="1"/>
  </cols>
  <sheetData>
    <row r="1" s="1" customFormat="1" ht="22.5" spans="1:11">
      <c r="A1" s="3" t="str">
        <f>'4#大堂'!A1</f>
        <v>通航青年国际社区项目4至6号楼家具电器采购（公区）数量清单</v>
      </c>
      <c r="B1" s="3"/>
      <c r="C1" s="3"/>
      <c r="D1" s="3"/>
      <c r="E1" s="3"/>
      <c r="F1" s="3"/>
      <c r="G1" s="3"/>
      <c r="H1" s="3"/>
      <c r="I1" s="5"/>
      <c r="J1" s="5"/>
      <c r="K1" s="16"/>
    </row>
    <row r="2" s="1" customFormat="1" ht="18.75" spans="1:11">
      <c r="A2" s="6" t="s">
        <v>38</v>
      </c>
      <c r="B2" s="6"/>
      <c r="C2" s="6"/>
      <c r="D2" s="6"/>
      <c r="E2" s="6"/>
      <c r="F2" s="6"/>
      <c r="G2" s="6"/>
      <c r="H2" s="6"/>
      <c r="I2" s="8"/>
      <c r="J2" s="8"/>
      <c r="K2" s="17"/>
    </row>
    <row r="3" s="1" customFormat="1" spans="1:11">
      <c r="A3" s="9" t="s">
        <v>47</v>
      </c>
      <c r="B3" s="9" t="s">
        <v>48</v>
      </c>
      <c r="C3" s="9" t="s">
        <v>49</v>
      </c>
      <c r="D3" s="9" t="s">
        <v>50</v>
      </c>
      <c r="E3" s="9" t="s">
        <v>51</v>
      </c>
      <c r="F3" s="9" t="s">
        <v>52</v>
      </c>
      <c r="G3" s="9" t="s">
        <v>53</v>
      </c>
      <c r="H3" s="9" t="s">
        <v>55</v>
      </c>
      <c r="I3" s="10" t="s">
        <v>21</v>
      </c>
      <c r="J3" s="10"/>
      <c r="K3" s="9" t="s">
        <v>23</v>
      </c>
    </row>
    <row r="4" s="1" customFormat="1" spans="1:11">
      <c r="A4" s="9" t="s">
        <v>56</v>
      </c>
      <c r="B4" s="9" t="s">
        <v>57</v>
      </c>
      <c r="C4" s="9" t="s">
        <v>58</v>
      </c>
      <c r="D4" s="9" t="s">
        <v>59</v>
      </c>
      <c r="E4" s="9" t="s">
        <v>60</v>
      </c>
      <c r="F4" s="9"/>
      <c r="G4" s="9" t="s">
        <v>61</v>
      </c>
      <c r="H4" s="9" t="s">
        <v>62</v>
      </c>
      <c r="I4" s="10" t="s">
        <v>63</v>
      </c>
      <c r="J4" s="10" t="s">
        <v>64</v>
      </c>
      <c r="K4" s="9" t="s">
        <v>65</v>
      </c>
    </row>
    <row r="5" ht="108" spans="1:11">
      <c r="A5" s="9" t="s">
        <v>76</v>
      </c>
      <c r="B5" s="9" t="s">
        <v>266</v>
      </c>
      <c r="C5" s="14" t="s">
        <v>267</v>
      </c>
      <c r="D5" s="9" t="str">
        <f>_xlfn.DISPIMG("ID_685291A4DA144049B133911621FC2DF3",1)</f>
        <v>=DISPIMG("ID_685291A4DA144049B133911621FC2DF3",1)</v>
      </c>
      <c r="E5" s="9" t="s">
        <v>268</v>
      </c>
      <c r="F5" s="11" t="s">
        <v>269</v>
      </c>
      <c r="G5" s="14" t="s">
        <v>70</v>
      </c>
      <c r="H5" s="9">
        <v>3</v>
      </c>
      <c r="I5" s="18"/>
      <c r="J5" s="10"/>
      <c r="K5" s="19" t="s">
        <v>71</v>
      </c>
    </row>
    <row r="6" ht="108" spans="1:11">
      <c r="A6" s="9" t="s">
        <v>86</v>
      </c>
      <c r="B6" s="9" t="s">
        <v>266</v>
      </c>
      <c r="C6" s="14" t="s">
        <v>156</v>
      </c>
      <c r="D6" s="9" t="str">
        <f>_xlfn.DISPIMG("ID_19892E40533E4A2999044805A227CECE",1)</f>
        <v>=DISPIMG("ID_19892E40533E4A2999044805A227CECE",1)</v>
      </c>
      <c r="E6" s="9" t="s">
        <v>232</v>
      </c>
      <c r="F6" s="11" t="s">
        <v>270</v>
      </c>
      <c r="G6" s="9" t="s">
        <v>195</v>
      </c>
      <c r="H6" s="9">
        <v>6</v>
      </c>
      <c r="I6" s="18"/>
      <c r="J6" s="10"/>
      <c r="K6" s="19" t="s">
        <v>71</v>
      </c>
    </row>
    <row r="7" ht="108" spans="1:11">
      <c r="A7" s="9" t="s">
        <v>91</v>
      </c>
      <c r="B7" s="9" t="s">
        <v>266</v>
      </c>
      <c r="C7" s="14" t="s">
        <v>154</v>
      </c>
      <c r="D7" s="9" t="str">
        <f>_xlfn.DISPIMG("ID_4FF800C698D34E499EE928BDACA593C4",1)</f>
        <v>=DISPIMG("ID_4FF800C698D34E499EE928BDACA593C4",1)</v>
      </c>
      <c r="E7" s="9" t="s">
        <v>233</v>
      </c>
      <c r="F7" s="11" t="s">
        <v>271</v>
      </c>
      <c r="G7" s="9" t="s">
        <v>195</v>
      </c>
      <c r="H7" s="9">
        <v>3</v>
      </c>
      <c r="I7" s="18"/>
      <c r="J7" s="10"/>
      <c r="K7" s="19" t="s">
        <v>71</v>
      </c>
    </row>
    <row r="8" s="1" customFormat="1" spans="1:11">
      <c r="A8" s="9" t="s">
        <v>110</v>
      </c>
      <c r="B8" s="9"/>
      <c r="C8" s="9"/>
      <c r="D8" s="9"/>
      <c r="E8" s="9"/>
      <c r="F8" s="9"/>
      <c r="G8" s="9"/>
      <c r="H8" s="9"/>
      <c r="I8" s="10"/>
      <c r="J8" s="10"/>
      <c r="K8" s="19"/>
    </row>
    <row r="9" spans="1:11">
      <c r="A9" s="9"/>
      <c r="B9" s="9"/>
      <c r="C9" s="9"/>
      <c r="D9" s="9"/>
      <c r="E9" s="9"/>
      <c r="F9" s="9"/>
      <c r="G9" s="9"/>
      <c r="H9" s="9"/>
      <c r="I9" s="10"/>
      <c r="J9" s="10"/>
      <c r="K9" s="19"/>
    </row>
    <row r="10" spans="1:11">
      <c r="A10" s="9"/>
      <c r="B10" s="9"/>
      <c r="C10" s="9"/>
      <c r="D10" s="9"/>
      <c r="E10" s="9"/>
      <c r="F10" s="9"/>
      <c r="G10" s="9"/>
      <c r="H10" s="9"/>
      <c r="I10" s="10"/>
      <c r="J10" s="10"/>
      <c r="K10" s="19"/>
    </row>
    <row r="11" spans="1:11">
      <c r="A11" s="9"/>
      <c r="B11" s="9"/>
      <c r="C11" s="9"/>
      <c r="D11" s="9"/>
      <c r="E11" s="9"/>
      <c r="F11" s="9"/>
      <c r="G11" s="9"/>
      <c r="H11" s="9"/>
      <c r="I11" s="10"/>
      <c r="J11" s="10"/>
      <c r="K11" s="19"/>
    </row>
    <row r="12" spans="1:11">
      <c r="A12" s="9"/>
      <c r="B12" s="9"/>
      <c r="C12" s="9"/>
      <c r="D12" s="9"/>
      <c r="E12" s="9"/>
      <c r="F12" s="9"/>
      <c r="G12" s="9"/>
      <c r="H12" s="9"/>
      <c r="I12" s="10"/>
      <c r="J12" s="10"/>
      <c r="K12" s="19"/>
    </row>
    <row r="13" spans="1:11">
      <c r="A13" s="9"/>
      <c r="B13" s="9"/>
      <c r="C13" s="9"/>
      <c r="D13" s="9"/>
      <c r="E13" s="9"/>
      <c r="F13" s="9"/>
      <c r="G13" s="9"/>
      <c r="H13" s="9"/>
      <c r="I13" s="10"/>
      <c r="J13" s="10"/>
      <c r="K13" s="19"/>
    </row>
    <row r="14" spans="1:11">
      <c r="A14" s="9"/>
      <c r="B14" s="9"/>
      <c r="C14" s="9"/>
      <c r="D14" s="9"/>
      <c r="E14" s="9"/>
      <c r="F14" s="9"/>
      <c r="G14" s="9"/>
      <c r="H14" s="9"/>
      <c r="I14" s="10"/>
      <c r="J14" s="10"/>
      <c r="K14" s="19"/>
    </row>
    <row r="15" spans="1:11">
      <c r="A15" s="9"/>
      <c r="B15" s="9"/>
      <c r="C15" s="9"/>
      <c r="D15" s="9"/>
      <c r="E15" s="9"/>
      <c r="F15" s="9"/>
      <c r="G15" s="9"/>
      <c r="H15" s="9"/>
      <c r="I15" s="10"/>
      <c r="J15" s="10"/>
      <c r="K15" s="19"/>
    </row>
  </sheetData>
  <mergeCells count="3">
    <mergeCell ref="A1:K1"/>
    <mergeCell ref="A2:K2"/>
    <mergeCell ref="I3:J3"/>
  </mergeCells>
  <pageMargins left="0.357638888888889" right="0.357638888888889" top="0.409027777777778" bottom="0.409027777777778" header="0.5" footer="0.5"/>
  <pageSetup paperSize="9" scale="9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view="pageBreakPreview" zoomScale="90" zoomScaleNormal="100" workbookViewId="0">
      <selection activeCell="B11" sqref="B11"/>
    </sheetView>
  </sheetViews>
  <sheetFormatPr defaultColWidth="12" defaultRowHeight="22" customHeight="1" outlineLevelCol="4"/>
  <cols>
    <col min="1" max="1" width="12" style="31" customWidth="1"/>
    <col min="2" max="2" width="54.45" style="31" customWidth="1"/>
    <col min="3" max="3" width="15.4416666666667" style="32" customWidth="1"/>
    <col min="4" max="4" width="10.1833333333333" style="31" customWidth="1"/>
    <col min="5" max="5" width="11.775" style="32" customWidth="1"/>
    <col min="6" max="16377" width="12" style="31" customWidth="1"/>
    <col min="16378" max="16381" width="12" style="31"/>
    <col min="16382" max="16384" width="12" style="76"/>
  </cols>
  <sheetData>
    <row r="1" s="31" customFormat="1" customHeight="1" spans="1:5">
      <c r="A1" s="33" t="s">
        <v>18</v>
      </c>
      <c r="B1" s="33"/>
      <c r="C1" s="33"/>
      <c r="D1" s="33"/>
      <c r="E1" s="34"/>
    </row>
    <row r="2" s="30" customFormat="1" ht="18" customHeight="1" spans="1:5">
      <c r="A2" s="35" t="s">
        <v>19</v>
      </c>
      <c r="B2" s="35" t="s">
        <v>20</v>
      </c>
      <c r="C2" s="36" t="s">
        <v>21</v>
      </c>
      <c r="D2" s="77" t="s">
        <v>22</v>
      </c>
      <c r="E2" s="36" t="s">
        <v>23</v>
      </c>
    </row>
    <row r="3" s="30" customFormat="1" ht="18" customHeight="1" spans="1:5">
      <c r="A3" s="35"/>
      <c r="B3" s="35"/>
      <c r="C3" s="36"/>
      <c r="D3" s="77"/>
      <c r="E3" s="36"/>
    </row>
    <row r="4" s="30" customFormat="1" ht="20" customHeight="1" spans="1:5">
      <c r="A4" s="35">
        <v>1</v>
      </c>
      <c r="B4" s="37" t="s">
        <v>24</v>
      </c>
      <c r="C4" s="36"/>
      <c r="D4" s="36">
        <v>126</v>
      </c>
      <c r="E4" s="36"/>
    </row>
    <row r="5" s="30" customFormat="1" ht="20" customHeight="1" spans="1:5">
      <c r="A5" s="35">
        <v>2</v>
      </c>
      <c r="B5" s="37" t="s">
        <v>25</v>
      </c>
      <c r="C5" s="36"/>
      <c r="D5" s="36">
        <v>164</v>
      </c>
      <c r="E5" s="36"/>
    </row>
    <row r="6" s="30" customFormat="1" ht="20" customHeight="1" spans="1:5">
      <c r="A6" s="35">
        <v>3</v>
      </c>
      <c r="B6" s="37" t="s">
        <v>26</v>
      </c>
      <c r="C6" s="36"/>
      <c r="D6" s="36">
        <v>80</v>
      </c>
      <c r="E6" s="36"/>
    </row>
    <row r="7" s="30" customFormat="1" ht="20" customHeight="1" spans="1:5">
      <c r="A7" s="35">
        <v>4</v>
      </c>
      <c r="B7" s="37" t="s">
        <v>27</v>
      </c>
      <c r="C7" s="36"/>
      <c r="D7" s="36">
        <v>44</v>
      </c>
      <c r="E7" s="36"/>
    </row>
    <row r="8" s="30" customFormat="1" ht="20" customHeight="1" spans="1:5">
      <c r="A8" s="35">
        <v>5</v>
      </c>
      <c r="B8" s="37" t="s">
        <v>28</v>
      </c>
      <c r="C8" s="36"/>
      <c r="D8" s="36">
        <v>26</v>
      </c>
      <c r="E8" s="36"/>
    </row>
    <row r="9" s="30" customFormat="1" ht="20" customHeight="1" spans="1:5">
      <c r="A9" s="35">
        <v>6</v>
      </c>
      <c r="B9" s="37" t="s">
        <v>29</v>
      </c>
      <c r="C9" s="36"/>
      <c r="D9" s="36">
        <v>14</v>
      </c>
      <c r="E9" s="36"/>
    </row>
    <row r="10" s="30" customFormat="1" ht="20" customHeight="1" spans="1:5">
      <c r="A10" s="35">
        <v>7</v>
      </c>
      <c r="B10" s="37" t="s">
        <v>30</v>
      </c>
      <c r="C10" s="36"/>
      <c r="D10" s="35"/>
      <c r="E10" s="36"/>
    </row>
    <row r="11" s="30" customFormat="1" ht="20" customHeight="1" spans="1:5">
      <c r="A11" s="35">
        <v>8</v>
      </c>
      <c r="B11" s="37" t="s">
        <v>31</v>
      </c>
      <c r="C11" s="36"/>
      <c r="D11" s="35"/>
      <c r="E11" s="36"/>
    </row>
    <row r="12" s="30" customFormat="1" ht="20" customHeight="1" spans="1:5">
      <c r="A12" s="35">
        <v>9</v>
      </c>
      <c r="B12" s="37" t="s">
        <v>32</v>
      </c>
      <c r="C12" s="36"/>
      <c r="D12" s="35"/>
      <c r="E12" s="36"/>
    </row>
    <row r="13" s="30" customFormat="1" ht="20" customHeight="1" spans="1:5">
      <c r="A13" s="35">
        <v>10</v>
      </c>
      <c r="B13" s="37" t="s">
        <v>33</v>
      </c>
      <c r="C13" s="36"/>
      <c r="D13" s="35"/>
      <c r="E13" s="36"/>
    </row>
    <row r="14" s="30" customFormat="1" ht="20" customHeight="1" spans="1:5">
      <c r="A14" s="35">
        <v>11</v>
      </c>
      <c r="B14" s="37" t="s">
        <v>34</v>
      </c>
      <c r="C14" s="36"/>
      <c r="D14" s="35"/>
      <c r="E14" s="36"/>
    </row>
    <row r="15" s="30" customFormat="1" ht="20" customHeight="1" spans="1:5">
      <c r="A15" s="35">
        <v>12</v>
      </c>
      <c r="B15" s="37" t="s">
        <v>35</v>
      </c>
      <c r="C15" s="36"/>
      <c r="D15" s="35"/>
      <c r="E15" s="36"/>
    </row>
    <row r="16" s="30" customFormat="1" ht="20" customHeight="1" spans="1:5">
      <c r="A16" s="35">
        <v>13</v>
      </c>
      <c r="B16" s="37" t="s">
        <v>36</v>
      </c>
      <c r="C16" s="36"/>
      <c r="D16" s="35"/>
      <c r="E16" s="36"/>
    </row>
    <row r="17" s="30" customFormat="1" ht="20" customHeight="1" spans="1:5">
      <c r="A17" s="35">
        <v>14</v>
      </c>
      <c r="B17" s="37" t="s">
        <v>37</v>
      </c>
      <c r="C17" s="36"/>
      <c r="D17" s="35"/>
      <c r="E17" s="36"/>
    </row>
    <row r="18" s="30" customFormat="1" ht="20" customHeight="1" spans="1:5">
      <c r="A18" s="35">
        <v>15</v>
      </c>
      <c r="B18" s="37" t="s">
        <v>38</v>
      </c>
      <c r="C18" s="36"/>
      <c r="D18" s="35"/>
      <c r="E18" s="36"/>
    </row>
    <row r="19" s="30" customFormat="1" ht="20" customHeight="1" spans="1:5">
      <c r="A19" s="35">
        <v>16</v>
      </c>
      <c r="B19" s="37" t="s">
        <v>39</v>
      </c>
      <c r="C19" s="36"/>
      <c r="D19" s="35"/>
      <c r="E19" s="36"/>
    </row>
    <row r="20" s="30" customFormat="1" ht="20" customHeight="1" spans="1:5">
      <c r="A20" s="35">
        <v>17</v>
      </c>
      <c r="B20" s="37" t="s">
        <v>40</v>
      </c>
      <c r="C20" s="36"/>
      <c r="D20" s="35"/>
      <c r="E20" s="36"/>
    </row>
    <row r="21" s="30" customFormat="1" ht="14.25" spans="1:5">
      <c r="A21" s="35">
        <v>18</v>
      </c>
      <c r="B21" s="40" t="s">
        <v>41</v>
      </c>
      <c r="C21" s="36">
        <f>客房汇总表!C10+'汇总表（工区）'!C14</f>
        <v>231011.2</v>
      </c>
      <c r="D21" s="35"/>
      <c r="E21" s="78"/>
    </row>
    <row r="22" s="30" customFormat="1" ht="28.5" spans="1:5">
      <c r="A22" s="35">
        <v>19</v>
      </c>
      <c r="B22" s="40" t="s">
        <v>42</v>
      </c>
      <c r="C22" s="41"/>
      <c r="D22" s="35"/>
      <c r="E22" s="36"/>
    </row>
  </sheetData>
  <mergeCells count="6">
    <mergeCell ref="A1:E1"/>
    <mergeCell ref="A2:A3"/>
    <mergeCell ref="B2:B3"/>
    <mergeCell ref="C2:C3"/>
    <mergeCell ref="D2:D3"/>
    <mergeCell ref="E2:E3"/>
  </mergeCells>
  <printOptions horizontalCentered="1"/>
  <pageMargins left="0.25" right="0.25" top="0.75" bottom="0.75" header="0.298611111111111" footer="0.298611111111111"/>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view="pageBreakPreview" zoomScale="115" zoomScaleNormal="70" workbookViewId="0">
      <pane ySplit="4" topLeftCell="A5" activePane="bottomLeft" state="frozen"/>
      <selection/>
      <selection pane="bottomLeft" activeCell="F9" sqref="F9"/>
    </sheetView>
  </sheetViews>
  <sheetFormatPr defaultColWidth="8.89166666666667" defaultRowHeight="12"/>
  <cols>
    <col min="1" max="1" width="12.0583333333333" style="1" customWidth="1"/>
    <col min="2" max="2" width="9.81666666666667" style="1" customWidth="1"/>
    <col min="3" max="3" width="19.0666666666667" style="1" customWidth="1"/>
    <col min="4" max="4" width="14.1083333333333" style="1" customWidth="1"/>
    <col min="5" max="5" width="12.675" style="1" customWidth="1"/>
    <col min="6" max="6" width="26.4916666666667" style="1" customWidth="1"/>
    <col min="7" max="7" width="5.71666666666667" style="1" customWidth="1"/>
    <col min="8" max="8" width="10.3666666666667" style="2" customWidth="1"/>
    <col min="9" max="10" width="11.7583333333333" style="1" customWidth="1"/>
    <col min="11" max="11" width="10.3583333333333" style="1" customWidth="1"/>
    <col min="12" max="16384" width="8.89166666666667" style="1"/>
  </cols>
  <sheetData>
    <row r="1" ht="22.5" spans="1:11">
      <c r="A1" s="3" t="s">
        <v>272</v>
      </c>
      <c r="B1" s="3"/>
      <c r="C1" s="3"/>
      <c r="D1" s="3"/>
      <c r="E1" s="3"/>
      <c r="F1" s="3"/>
      <c r="G1" s="3"/>
      <c r="H1" s="5"/>
      <c r="I1" s="4"/>
      <c r="J1" s="4"/>
      <c r="K1" s="4"/>
    </row>
    <row r="2" ht="18.75" spans="1:11">
      <c r="A2" s="6" t="s">
        <v>273</v>
      </c>
      <c r="B2" s="6"/>
      <c r="C2" s="6"/>
      <c r="D2" s="6"/>
      <c r="E2" s="6"/>
      <c r="F2" s="6"/>
      <c r="G2" s="6"/>
      <c r="H2" s="8"/>
      <c r="I2" s="7"/>
      <c r="J2" s="7"/>
      <c r="K2" s="7"/>
    </row>
    <row r="3" spans="1:11">
      <c r="A3" s="9" t="s">
        <v>47</v>
      </c>
      <c r="B3" s="9" t="s">
        <v>48</v>
      </c>
      <c r="C3" s="9" t="s">
        <v>49</v>
      </c>
      <c r="D3" s="9" t="s">
        <v>50</v>
      </c>
      <c r="E3" s="9" t="s">
        <v>51</v>
      </c>
      <c r="F3" s="9" t="s">
        <v>52</v>
      </c>
      <c r="G3" s="9" t="s">
        <v>53</v>
      </c>
      <c r="H3" s="10" t="s">
        <v>55</v>
      </c>
      <c r="I3" s="10" t="s">
        <v>21</v>
      </c>
      <c r="J3" s="10"/>
      <c r="K3" s="9" t="s">
        <v>23</v>
      </c>
    </row>
    <row r="4" spans="1:11">
      <c r="A4" s="9" t="s">
        <v>56</v>
      </c>
      <c r="B4" s="9" t="s">
        <v>57</v>
      </c>
      <c r="C4" s="9" t="s">
        <v>58</v>
      </c>
      <c r="D4" s="9" t="s">
        <v>59</v>
      </c>
      <c r="E4" s="9" t="s">
        <v>60</v>
      </c>
      <c r="F4" s="9"/>
      <c r="G4" s="9" t="s">
        <v>61</v>
      </c>
      <c r="H4" s="10" t="s">
        <v>62</v>
      </c>
      <c r="I4" s="10" t="s">
        <v>63</v>
      </c>
      <c r="J4" s="10" t="s">
        <v>64</v>
      </c>
      <c r="K4" s="9" t="s">
        <v>65</v>
      </c>
    </row>
    <row r="5" ht="48" spans="1:11">
      <c r="A5" s="9" t="s">
        <v>66</v>
      </c>
      <c r="B5" s="9" t="s">
        <v>274</v>
      </c>
      <c r="C5" s="14" t="s">
        <v>87</v>
      </c>
      <c r="D5" s="9" t="str">
        <f>_xlfn.DISPIMG("ID_9342C9468B374F9CAD1BB7E5CD463B6E",1)</f>
        <v>=DISPIMG("ID_9342C9468B374F9CAD1BB7E5CD463B6E",1)</v>
      </c>
      <c r="E5" s="9" t="s">
        <v>88</v>
      </c>
      <c r="F5" s="11" t="s">
        <v>89</v>
      </c>
      <c r="G5" s="14" t="s">
        <v>90</v>
      </c>
      <c r="H5" s="10">
        <v>2</v>
      </c>
      <c r="I5" s="10"/>
      <c r="J5" s="10"/>
      <c r="K5" s="9"/>
    </row>
    <row r="6" ht="48" spans="1:11">
      <c r="A6" s="9" t="s">
        <v>66</v>
      </c>
      <c r="B6" s="9" t="s">
        <v>275</v>
      </c>
      <c r="C6" s="14" t="s">
        <v>87</v>
      </c>
      <c r="D6" s="9" t="str">
        <f>_xlfn.DISPIMG("ID_9342C9468B374F9CAD1BB7E5CD463B6E",1)</f>
        <v>=DISPIMG("ID_9342C9468B374F9CAD1BB7E5CD463B6E",1)</v>
      </c>
      <c r="E6" s="9" t="s">
        <v>88</v>
      </c>
      <c r="F6" s="11" t="s">
        <v>89</v>
      </c>
      <c r="G6" s="14" t="s">
        <v>90</v>
      </c>
      <c r="H6" s="10">
        <v>3</v>
      </c>
      <c r="I6" s="10"/>
      <c r="J6" s="10"/>
      <c r="K6" s="9"/>
    </row>
    <row r="7" ht="48" spans="1:11">
      <c r="A7" s="9"/>
      <c r="B7" s="9" t="s">
        <v>276</v>
      </c>
      <c r="C7" s="14" t="s">
        <v>277</v>
      </c>
      <c r="D7" s="9" t="str">
        <f>_xlfn.DISPIMG("ID_BE16465254664C22B706EF9DAF6CBEFF",1)</f>
        <v>=DISPIMG("ID_BE16465254664C22B706EF9DAF6CBEFF",1)</v>
      </c>
      <c r="E7" s="9" t="s">
        <v>278</v>
      </c>
      <c r="F7" s="11" t="s">
        <v>279</v>
      </c>
      <c r="G7" s="14" t="s">
        <v>90</v>
      </c>
      <c r="H7" s="10">
        <v>2</v>
      </c>
      <c r="I7" s="10"/>
      <c r="J7" s="10"/>
      <c r="K7" s="9"/>
    </row>
    <row r="8" ht="60" spans="1:11">
      <c r="A8" s="9"/>
      <c r="B8" s="9" t="s">
        <v>38</v>
      </c>
      <c r="C8" s="14" t="s">
        <v>280</v>
      </c>
      <c r="D8" s="9" t="str">
        <f>_xlfn.DISPIMG("ID_EB9EA324105B440C8B37499773D41B90",1)</f>
        <v>=DISPIMG("ID_EB9EA324105B440C8B37499773D41B90",1)</v>
      </c>
      <c r="E8" s="9" t="s">
        <v>281</v>
      </c>
      <c r="F8" s="11" t="s">
        <v>282</v>
      </c>
      <c r="G8" s="14" t="s">
        <v>90</v>
      </c>
      <c r="H8" s="10">
        <v>12</v>
      </c>
      <c r="I8" s="10"/>
      <c r="J8" s="10"/>
      <c r="K8" s="9"/>
    </row>
    <row r="9" ht="48" spans="1:11">
      <c r="A9" s="9"/>
      <c r="B9" s="9" t="s">
        <v>38</v>
      </c>
      <c r="C9" s="14" t="s">
        <v>283</v>
      </c>
      <c r="D9" s="9" t="str">
        <f>_xlfn.DISPIMG("ID_CC76E92AB28F4C028B1A1B275A843A00",1)</f>
        <v>=DISPIMG("ID_CC76E92AB28F4C028B1A1B275A843A00",1)</v>
      </c>
      <c r="E9" s="9" t="s">
        <v>281</v>
      </c>
      <c r="F9" s="11" t="s">
        <v>284</v>
      </c>
      <c r="G9" s="14" t="s">
        <v>90</v>
      </c>
      <c r="H9" s="10">
        <v>6</v>
      </c>
      <c r="I9" s="10"/>
      <c r="J9" s="10"/>
      <c r="K9" s="9"/>
    </row>
    <row r="10" spans="1:11">
      <c r="A10" s="9"/>
      <c r="B10" s="9" t="s">
        <v>110</v>
      </c>
      <c r="C10" s="9"/>
      <c r="D10" s="9"/>
      <c r="E10" s="9"/>
      <c r="F10" s="9"/>
      <c r="G10" s="9"/>
      <c r="H10" s="10"/>
      <c r="I10" s="9"/>
      <c r="J10" s="10"/>
      <c r="K10" s="9"/>
    </row>
    <row r="11" spans="1:8">
      <c r="A11" s="12"/>
      <c r="B11" s="12"/>
      <c r="C11" s="12"/>
      <c r="D11" s="12"/>
      <c r="E11" s="12"/>
      <c r="F11" s="12"/>
      <c r="G11" s="12"/>
      <c r="H11" s="13"/>
    </row>
    <row r="12" spans="1:8">
      <c r="A12" s="9"/>
      <c r="B12" s="9"/>
      <c r="C12" s="9"/>
      <c r="D12" s="9"/>
      <c r="E12" s="9"/>
      <c r="F12" s="9"/>
      <c r="G12" s="9"/>
      <c r="H12" s="10"/>
    </row>
    <row r="13" spans="1:8">
      <c r="A13" s="9"/>
      <c r="B13" s="9"/>
      <c r="C13" s="9"/>
      <c r="D13" s="9"/>
      <c r="E13" s="9"/>
      <c r="F13" s="9"/>
      <c r="G13" s="9"/>
      <c r="H13" s="10"/>
    </row>
    <row r="14" spans="1:8">
      <c r="A14" s="9"/>
      <c r="B14" s="9"/>
      <c r="C14" s="9"/>
      <c r="D14" s="9"/>
      <c r="E14" s="9"/>
      <c r="F14" s="9"/>
      <c r="G14" s="9"/>
      <c r="H14" s="10"/>
    </row>
    <row r="15" spans="1:8">
      <c r="A15" s="9"/>
      <c r="B15" s="9"/>
      <c r="C15" s="9"/>
      <c r="D15" s="9"/>
      <c r="E15" s="9"/>
      <c r="F15" s="9"/>
      <c r="G15" s="9"/>
      <c r="H15" s="10"/>
    </row>
  </sheetData>
  <autoFilter ref="A4:K10">
    <extLst/>
  </autoFilter>
  <mergeCells count="3">
    <mergeCell ref="A1:K1"/>
    <mergeCell ref="A2:K2"/>
    <mergeCell ref="I3:J3"/>
  </mergeCells>
  <pageMargins left="0.393055555555556" right="0.448611111111111" top="0.357638888888889" bottom="0.357638888888889" header="0.298611111111111" footer="0.298611111111111"/>
  <pageSetup paperSize="9" scale="98" fitToHeight="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view="pageBreakPreview" zoomScaleNormal="70" topLeftCell="B1" workbookViewId="0">
      <pane ySplit="4" topLeftCell="A5" activePane="bottomLeft" state="frozen"/>
      <selection/>
      <selection pane="bottomLeft" activeCell="J7" sqref="J7"/>
    </sheetView>
  </sheetViews>
  <sheetFormatPr defaultColWidth="8.89166666666667" defaultRowHeight="12"/>
  <cols>
    <col min="1" max="1" width="8.34166666666667" style="1" customWidth="1"/>
    <col min="2" max="2" width="12.8166666666667" style="1" customWidth="1"/>
    <col min="3" max="3" width="12.675" style="1" customWidth="1"/>
    <col min="4" max="4" width="14.1083333333333" style="1" customWidth="1"/>
    <col min="5" max="5" width="14.6416666666667" style="1" customWidth="1"/>
    <col min="6" max="6" width="42.6583333333333" style="1" customWidth="1"/>
    <col min="7" max="7" width="6.675" style="1" customWidth="1"/>
    <col min="8" max="8" width="7.25833333333333" style="2" customWidth="1"/>
    <col min="9" max="10" width="8.98333333333333" style="1" customWidth="1"/>
    <col min="11" max="11" width="9.64166666666667" style="1" customWidth="1"/>
    <col min="12" max="16384" width="8.89166666666667" style="1"/>
  </cols>
  <sheetData>
    <row r="1" ht="22.5" spans="1:11">
      <c r="A1" s="3" t="s">
        <v>285</v>
      </c>
      <c r="B1" s="3"/>
      <c r="C1" s="3"/>
      <c r="D1" s="3"/>
      <c r="E1" s="3"/>
      <c r="F1" s="4"/>
      <c r="G1" s="3"/>
      <c r="H1" s="5"/>
      <c r="I1" s="4"/>
      <c r="J1" s="4"/>
      <c r="K1" s="4"/>
    </row>
    <row r="2" ht="18.75" spans="1:11">
      <c r="A2" s="6" t="s">
        <v>286</v>
      </c>
      <c r="B2" s="6"/>
      <c r="C2" s="6"/>
      <c r="D2" s="6"/>
      <c r="E2" s="6"/>
      <c r="F2" s="7"/>
      <c r="G2" s="6"/>
      <c r="H2" s="8"/>
      <c r="I2" s="7"/>
      <c r="J2" s="7"/>
      <c r="K2" s="7"/>
    </row>
    <row r="3" spans="1:11">
      <c r="A3" s="9" t="s">
        <v>47</v>
      </c>
      <c r="B3" s="9" t="s">
        <v>48</v>
      </c>
      <c r="C3" s="9" t="s">
        <v>49</v>
      </c>
      <c r="D3" s="9" t="s">
        <v>50</v>
      </c>
      <c r="E3" s="9" t="s">
        <v>51</v>
      </c>
      <c r="F3" s="9" t="s">
        <v>52</v>
      </c>
      <c r="G3" s="9" t="s">
        <v>53</v>
      </c>
      <c r="H3" s="10" t="s">
        <v>55</v>
      </c>
      <c r="I3" s="10" t="s">
        <v>21</v>
      </c>
      <c r="J3" s="10"/>
      <c r="K3" s="9" t="s">
        <v>23</v>
      </c>
    </row>
    <row r="4" spans="1:11">
      <c r="A4" s="9" t="s">
        <v>56</v>
      </c>
      <c r="B4" s="9" t="s">
        <v>57</v>
      </c>
      <c r="C4" s="9" t="s">
        <v>58</v>
      </c>
      <c r="D4" s="9" t="s">
        <v>59</v>
      </c>
      <c r="E4" s="9" t="s">
        <v>60</v>
      </c>
      <c r="F4" s="9"/>
      <c r="G4" s="9" t="s">
        <v>61</v>
      </c>
      <c r="H4" s="10" t="s">
        <v>62</v>
      </c>
      <c r="I4" s="10" t="s">
        <v>63</v>
      </c>
      <c r="J4" s="10" t="s">
        <v>64</v>
      </c>
      <c r="K4" s="9" t="s">
        <v>65</v>
      </c>
    </row>
    <row r="5" ht="60" spans="1:11">
      <c r="A5" s="9"/>
      <c r="B5" s="9" t="s">
        <v>32</v>
      </c>
      <c r="C5" s="9" t="s">
        <v>287</v>
      </c>
      <c r="D5" s="9" t="str">
        <f>_xlfn.DISPIMG("ID_CBBD9FE241684E1BA48371AABBD7D8DA",1)</f>
        <v>=DISPIMG("ID_CBBD9FE241684E1BA48371AABBD7D8DA",1)</v>
      </c>
      <c r="E5" s="9" t="s">
        <v>288</v>
      </c>
      <c r="F5" s="11" t="s">
        <v>289</v>
      </c>
      <c r="G5" s="9" t="s">
        <v>195</v>
      </c>
      <c r="H5" s="10">
        <v>2</v>
      </c>
      <c r="I5" s="10"/>
      <c r="J5" s="10"/>
      <c r="K5" s="9"/>
    </row>
    <row r="6" ht="180" spans="1:11">
      <c r="A6" s="9"/>
      <c r="B6" s="9" t="s">
        <v>32</v>
      </c>
      <c r="C6" s="9" t="s">
        <v>290</v>
      </c>
      <c r="D6" s="9" t="str">
        <f>_xlfn.DISPIMG("ID_1764A021BFBC4223B3D9D9B417E56C24",1)</f>
        <v>=DISPIMG("ID_1764A021BFBC4223B3D9D9B417E56C24",1)</v>
      </c>
      <c r="E6" s="9" t="s">
        <v>291</v>
      </c>
      <c r="F6" s="11" t="s">
        <v>292</v>
      </c>
      <c r="G6" s="9" t="s">
        <v>195</v>
      </c>
      <c r="H6" s="10">
        <v>2</v>
      </c>
      <c r="I6" s="10"/>
      <c r="J6" s="10"/>
      <c r="K6" s="9"/>
    </row>
    <row r="7" ht="300" spans="1:11">
      <c r="A7" s="9"/>
      <c r="B7" s="9" t="s">
        <v>32</v>
      </c>
      <c r="C7" s="9" t="s">
        <v>293</v>
      </c>
      <c r="D7" s="9" t="str">
        <f>_xlfn.DISPIMG("ID_EE7C9CE04C1640CCA6D1D8EE70DBAF22",1)</f>
        <v>=DISPIMG("ID_EE7C9CE04C1640CCA6D1D8EE70DBAF22",1)</v>
      </c>
      <c r="E7" s="9" t="s">
        <v>294</v>
      </c>
      <c r="F7" s="11" t="s">
        <v>295</v>
      </c>
      <c r="G7" s="9" t="s">
        <v>195</v>
      </c>
      <c r="H7" s="10">
        <v>4</v>
      </c>
      <c r="I7" s="10"/>
      <c r="J7" s="10"/>
      <c r="K7" s="9"/>
    </row>
    <row r="8" s="1" customFormat="1" spans="1:11">
      <c r="A8" s="9"/>
      <c r="B8" s="9" t="s">
        <v>110</v>
      </c>
      <c r="C8" s="9"/>
      <c r="D8" s="9"/>
      <c r="E8" s="9"/>
      <c r="F8" s="9"/>
      <c r="G8" s="9"/>
      <c r="H8" s="10"/>
      <c r="I8" s="10"/>
      <c r="J8" s="10"/>
      <c r="K8" s="9"/>
    </row>
    <row r="9" spans="1:8">
      <c r="A9" s="12"/>
      <c r="B9" s="12"/>
      <c r="C9" s="12"/>
      <c r="D9" s="12"/>
      <c r="E9" s="12"/>
      <c r="F9" s="12"/>
      <c r="G9" s="12"/>
      <c r="H9" s="13"/>
    </row>
    <row r="10" spans="1:8">
      <c r="A10" s="9"/>
      <c r="B10" s="9"/>
      <c r="C10" s="9"/>
      <c r="D10" s="9"/>
      <c r="E10" s="9"/>
      <c r="F10" s="9"/>
      <c r="G10" s="9"/>
      <c r="H10" s="10"/>
    </row>
    <row r="11" spans="1:8">
      <c r="A11" s="9"/>
      <c r="B11" s="9"/>
      <c r="C11" s="9"/>
      <c r="D11" s="9"/>
      <c r="E11" s="9"/>
      <c r="F11" s="9"/>
      <c r="G11" s="9"/>
      <c r="H11" s="10"/>
    </row>
    <row r="12" spans="1:8">
      <c r="A12" s="9"/>
      <c r="B12" s="9"/>
      <c r="C12" s="9"/>
      <c r="D12" s="9"/>
      <c r="E12" s="9"/>
      <c r="F12" s="9"/>
      <c r="G12" s="9"/>
      <c r="H12" s="10"/>
    </row>
    <row r="13" spans="1:8">
      <c r="A13" s="9"/>
      <c r="B13" s="9"/>
      <c r="C13" s="9"/>
      <c r="D13" s="9"/>
      <c r="E13" s="9"/>
      <c r="F13" s="9"/>
      <c r="G13" s="9"/>
      <c r="H13" s="10"/>
    </row>
    <row r="14" spans="1:8">
      <c r="A14" s="9"/>
      <c r="B14" s="9"/>
      <c r="C14" s="9"/>
      <c r="D14" s="9"/>
      <c r="E14" s="9"/>
      <c r="F14" s="9"/>
      <c r="G14" s="9"/>
      <c r="H14" s="10"/>
    </row>
    <row r="15" spans="1:8">
      <c r="A15" s="9"/>
      <c r="B15" s="9"/>
      <c r="C15" s="9"/>
      <c r="D15" s="9"/>
      <c r="E15" s="9"/>
      <c r="F15" s="9"/>
      <c r="G15" s="9"/>
      <c r="H15" s="10"/>
    </row>
  </sheetData>
  <autoFilter ref="A4:K8">
    <extLst/>
  </autoFilter>
  <mergeCells count="3">
    <mergeCell ref="A1:K1"/>
    <mergeCell ref="A2:K2"/>
    <mergeCell ref="I3:J3"/>
  </mergeCells>
  <pageMargins left="0" right="0" top="0.357638888888889" bottom="0.357638888888889" header="0.298611111111111" footer="0.298611111111111"/>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BreakPreview" zoomScaleNormal="100" workbookViewId="0">
      <selection activeCell="I6" sqref="I6"/>
    </sheetView>
  </sheetViews>
  <sheetFormatPr defaultColWidth="12" defaultRowHeight="13.5" outlineLevelCol="4"/>
  <cols>
    <col min="1" max="1" width="12" style="66" customWidth="1"/>
    <col min="2" max="2" width="36.725" style="66" customWidth="1"/>
    <col min="3" max="4" width="15.6333333333333" style="67" customWidth="1"/>
    <col min="5" max="16375" width="12" style="66" customWidth="1"/>
    <col min="16376" max="16384" width="12" style="66"/>
  </cols>
  <sheetData>
    <row r="1" ht="34" customHeight="1" spans="1:5">
      <c r="A1" s="68" t="s">
        <v>43</v>
      </c>
      <c r="B1" s="68"/>
      <c r="C1" s="69"/>
      <c r="D1" s="68"/>
      <c r="E1" s="68"/>
    </row>
    <row r="2" s="65" customFormat="1" ht="27" customHeight="1" spans="1:5">
      <c r="A2" s="70" t="s">
        <v>19</v>
      </c>
      <c r="B2" s="70" t="s">
        <v>20</v>
      </c>
      <c r="C2" s="71" t="s">
        <v>21</v>
      </c>
      <c r="D2" s="72" t="s">
        <v>22</v>
      </c>
      <c r="E2" s="70" t="s">
        <v>23</v>
      </c>
    </row>
    <row r="3" s="65" customFormat="1" ht="27" customHeight="1" spans="1:5">
      <c r="A3" s="73"/>
      <c r="B3" s="73"/>
      <c r="C3" s="74"/>
      <c r="D3" s="75"/>
      <c r="E3" s="73"/>
    </row>
    <row r="4" s="65" customFormat="1" ht="27" customHeight="1" spans="1:5">
      <c r="A4" s="35">
        <v>1</v>
      </c>
      <c r="B4" s="37" t="s">
        <v>24</v>
      </c>
      <c r="C4" s="36"/>
      <c r="D4" s="36">
        <v>126</v>
      </c>
      <c r="E4" s="35"/>
    </row>
    <row r="5" s="65" customFormat="1" ht="27" customHeight="1" spans="1:5">
      <c r="A5" s="35">
        <v>2</v>
      </c>
      <c r="B5" s="37" t="s">
        <v>25</v>
      </c>
      <c r="C5" s="36"/>
      <c r="D5" s="36">
        <v>164</v>
      </c>
      <c r="E5" s="35"/>
    </row>
    <row r="6" s="65" customFormat="1" ht="27" customHeight="1" spans="1:5">
      <c r="A6" s="35">
        <v>3</v>
      </c>
      <c r="B6" s="37" t="s">
        <v>26</v>
      </c>
      <c r="C6" s="36"/>
      <c r="D6" s="36">
        <v>80</v>
      </c>
      <c r="E6" s="35"/>
    </row>
    <row r="7" s="65" customFormat="1" ht="27" customHeight="1" spans="1:5">
      <c r="A7" s="35">
        <v>4</v>
      </c>
      <c r="B7" s="37" t="s">
        <v>27</v>
      </c>
      <c r="C7" s="36"/>
      <c r="D7" s="36">
        <v>44</v>
      </c>
      <c r="E7" s="35"/>
    </row>
    <row r="8" s="65" customFormat="1" ht="27" customHeight="1" spans="1:5">
      <c r="A8" s="35">
        <v>5</v>
      </c>
      <c r="B8" s="37" t="s">
        <v>28</v>
      </c>
      <c r="C8" s="36"/>
      <c r="D8" s="36">
        <v>26</v>
      </c>
      <c r="E8" s="35"/>
    </row>
    <row r="9" s="65" customFormat="1" ht="27" customHeight="1" spans="1:5">
      <c r="A9" s="35">
        <v>6</v>
      </c>
      <c r="B9" s="37" t="s">
        <v>29</v>
      </c>
      <c r="C9" s="36"/>
      <c r="D9" s="36">
        <v>14</v>
      </c>
      <c r="E9" s="35"/>
    </row>
    <row r="10" s="65" customFormat="1" ht="27" customHeight="1" spans="1:5">
      <c r="A10" s="35">
        <v>7</v>
      </c>
      <c r="B10" s="37" t="s">
        <v>41</v>
      </c>
      <c r="C10" s="36">
        <v>218828.14</v>
      </c>
      <c r="D10" s="36"/>
      <c r="E10" s="35"/>
    </row>
    <row r="11" s="65" customFormat="1" ht="27" customHeight="1" spans="1:5">
      <c r="A11" s="35">
        <v>8</v>
      </c>
      <c r="B11" s="37" t="s">
        <v>44</v>
      </c>
      <c r="C11" s="41"/>
      <c r="D11" s="36"/>
      <c r="E11" s="35"/>
    </row>
  </sheetData>
  <mergeCells count="6">
    <mergeCell ref="A1:E1"/>
    <mergeCell ref="A2:A3"/>
    <mergeCell ref="B2:B3"/>
    <mergeCell ref="C2:C3"/>
    <mergeCell ref="D2:D3"/>
    <mergeCell ref="E2:E3"/>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zoomScaleSheetLayoutView="80" workbookViewId="0">
      <pane xSplit="3" ySplit="4" topLeftCell="D5" activePane="bottomRight" state="frozen"/>
      <selection/>
      <selection pane="topRight"/>
      <selection pane="bottomLeft"/>
      <selection pane="bottomRight" activeCell="I5" sqref="I5"/>
    </sheetView>
  </sheetViews>
  <sheetFormatPr defaultColWidth="12.8416666666667" defaultRowHeight="13.5"/>
  <cols>
    <col min="1" max="1" width="8.575" style="49" customWidth="1"/>
    <col min="2" max="2" width="8.425" style="49" customWidth="1"/>
    <col min="3" max="4" width="12.8416666666667" style="49" customWidth="1"/>
    <col min="5" max="5" width="20.9083333333333" style="42" customWidth="1"/>
    <col min="6" max="6" width="39.7666666666667" style="42" customWidth="1"/>
    <col min="7" max="7" width="9.4" style="49" customWidth="1"/>
    <col min="8" max="8" width="12.8416666666667" style="50" customWidth="1"/>
    <col min="9" max="9" width="9.94166666666667" style="50" customWidth="1"/>
    <col min="10" max="11" width="12.8416666666667" style="50" customWidth="1"/>
    <col min="12" max="16378" width="12.8416666666667" style="49" customWidth="1"/>
    <col min="16379" max="16384" width="12.8416666666667" style="49"/>
  </cols>
  <sheetData>
    <row r="1" s="42" customFormat="1" ht="22.5" spans="1:12">
      <c r="A1" s="3" t="s">
        <v>45</v>
      </c>
      <c r="B1" s="3"/>
      <c r="C1" s="3"/>
      <c r="D1" s="3"/>
      <c r="E1" s="3"/>
      <c r="F1" s="3"/>
      <c r="G1" s="3"/>
      <c r="H1" s="5"/>
      <c r="I1" s="5"/>
      <c r="J1" s="5"/>
      <c r="K1" s="5"/>
      <c r="L1" s="3"/>
    </row>
    <row r="2" s="42" customFormat="1" ht="20.25" spans="1:12">
      <c r="A2" s="44" t="s">
        <v>46</v>
      </c>
      <c r="B2" s="44"/>
      <c r="C2" s="44"/>
      <c r="D2" s="44"/>
      <c r="E2" s="44"/>
      <c r="F2" s="44"/>
      <c r="G2" s="44"/>
      <c r="H2" s="45"/>
      <c r="I2" s="45"/>
      <c r="J2" s="45"/>
      <c r="K2" s="45"/>
      <c r="L2" s="44"/>
    </row>
    <row r="3" s="42" customFormat="1" spans="1:12">
      <c r="A3" s="14" t="s">
        <v>47</v>
      </c>
      <c r="B3" s="14" t="s">
        <v>48</v>
      </c>
      <c r="C3" s="14" t="s">
        <v>49</v>
      </c>
      <c r="D3" s="14" t="s">
        <v>50</v>
      </c>
      <c r="E3" s="14" t="s">
        <v>51</v>
      </c>
      <c r="F3" s="14" t="s">
        <v>52</v>
      </c>
      <c r="G3" s="14" t="s">
        <v>53</v>
      </c>
      <c r="H3" s="23" t="s">
        <v>54</v>
      </c>
      <c r="I3" s="23" t="s">
        <v>55</v>
      </c>
      <c r="J3" s="23" t="s">
        <v>21</v>
      </c>
      <c r="K3" s="23"/>
      <c r="L3" s="14" t="s">
        <v>23</v>
      </c>
    </row>
    <row r="4" s="42" customFormat="1" ht="24" spans="1:12">
      <c r="A4" s="14" t="s">
        <v>56</v>
      </c>
      <c r="B4" s="14" t="s">
        <v>57</v>
      </c>
      <c r="C4" s="14" t="s">
        <v>58</v>
      </c>
      <c r="D4" s="14" t="s">
        <v>59</v>
      </c>
      <c r="E4" s="14" t="s">
        <v>60</v>
      </c>
      <c r="F4" s="14"/>
      <c r="G4" s="14" t="s">
        <v>61</v>
      </c>
      <c r="H4" s="23" t="s">
        <v>62</v>
      </c>
      <c r="I4" s="23" t="s">
        <v>62</v>
      </c>
      <c r="J4" s="23" t="s">
        <v>63</v>
      </c>
      <c r="K4" s="23" t="s">
        <v>64</v>
      </c>
      <c r="L4" s="14" t="s">
        <v>65</v>
      </c>
    </row>
    <row r="5" ht="120" spans="1:12">
      <c r="A5" s="47" t="s">
        <v>66</v>
      </c>
      <c r="B5" s="47" t="s">
        <v>46</v>
      </c>
      <c r="C5" s="14" t="s">
        <v>67</v>
      </c>
      <c r="D5" s="47" t="str">
        <f>_xlfn.DISPIMG("ID_606E7FACB49B4AC28B812777E705D00D",1)</f>
        <v>=DISPIMG("ID_606E7FACB49B4AC28B812777E705D00D",1)</v>
      </c>
      <c r="E5" s="14" t="s">
        <v>68</v>
      </c>
      <c r="F5" s="20" t="s">
        <v>69</v>
      </c>
      <c r="G5" s="14" t="s">
        <v>70</v>
      </c>
      <c r="H5" s="48">
        <v>3</v>
      </c>
      <c r="I5" s="23">
        <f t="shared" ref="I5:I12" si="0">H5*126</f>
        <v>378</v>
      </c>
      <c r="J5" s="23"/>
      <c r="K5" s="23"/>
      <c r="L5" s="14" t="s">
        <v>71</v>
      </c>
    </row>
    <row r="6" ht="108" spans="1:12">
      <c r="A6" s="47" t="s">
        <v>72</v>
      </c>
      <c r="B6" s="47" t="s">
        <v>46</v>
      </c>
      <c r="C6" s="14" t="s">
        <v>73</v>
      </c>
      <c r="D6" s="47" t="str">
        <f>_xlfn.DISPIMG("ID_1CE938B21D8A4808AA36071FAABB8249",1)</f>
        <v>=DISPIMG("ID_1CE938B21D8A4808AA36071FAABB8249",1)</v>
      </c>
      <c r="E6" s="14" t="s">
        <v>74</v>
      </c>
      <c r="F6" s="20" t="s">
        <v>75</v>
      </c>
      <c r="G6" s="47" t="s">
        <v>70</v>
      </c>
      <c r="H6" s="48">
        <v>2</v>
      </c>
      <c r="I6" s="23">
        <f t="shared" si="0"/>
        <v>252</v>
      </c>
      <c r="J6" s="23"/>
      <c r="K6" s="23"/>
      <c r="L6" s="14" t="s">
        <v>71</v>
      </c>
    </row>
    <row r="7" ht="96" spans="1:12">
      <c r="A7" s="47" t="s">
        <v>76</v>
      </c>
      <c r="B7" s="47" t="s">
        <v>46</v>
      </c>
      <c r="C7" s="14" t="s">
        <v>77</v>
      </c>
      <c r="D7" s="47" t="str">
        <f>_xlfn.DISPIMG("ID_4F1A858909BF43E8BCAEB304081E754E",1)</f>
        <v>=DISPIMG("ID_4F1A858909BF43E8BCAEB304081E754E",1)</v>
      </c>
      <c r="E7" s="14" t="s">
        <v>78</v>
      </c>
      <c r="F7" s="20" t="s">
        <v>79</v>
      </c>
      <c r="G7" s="47" t="s">
        <v>80</v>
      </c>
      <c r="H7" s="48">
        <v>6</v>
      </c>
      <c r="I7" s="23">
        <f t="shared" si="0"/>
        <v>756</v>
      </c>
      <c r="J7" s="23"/>
      <c r="K7" s="23"/>
      <c r="L7" s="14" t="s">
        <v>71</v>
      </c>
    </row>
    <row r="8" ht="72" spans="1:12">
      <c r="A8" s="47" t="s">
        <v>81</v>
      </c>
      <c r="B8" s="47" t="s">
        <v>46</v>
      </c>
      <c r="C8" s="14" t="s">
        <v>82</v>
      </c>
      <c r="D8" s="47" t="str">
        <f>_xlfn.DISPIMG("ID_CD43198F53254EE78F536827CC7F33E6",1)</f>
        <v>=DISPIMG("ID_CD43198F53254EE78F536827CC7F33E6",1)</v>
      </c>
      <c r="E8" s="14" t="s">
        <v>83</v>
      </c>
      <c r="F8" s="20" t="s">
        <v>84</v>
      </c>
      <c r="G8" s="47" t="s">
        <v>85</v>
      </c>
      <c r="H8" s="48">
        <v>1</v>
      </c>
      <c r="I8" s="23">
        <f t="shared" si="0"/>
        <v>126</v>
      </c>
      <c r="J8" s="23"/>
      <c r="K8" s="23"/>
      <c r="L8" s="14" t="s">
        <v>71</v>
      </c>
    </row>
    <row r="9" ht="36" spans="1:12">
      <c r="A9" s="47" t="s">
        <v>86</v>
      </c>
      <c r="B9" s="47" t="s">
        <v>46</v>
      </c>
      <c r="C9" s="14" t="s">
        <v>87</v>
      </c>
      <c r="D9" s="47" t="str">
        <f>_xlfn.DISPIMG("ID_90A954C05747469F94C31AC9DEBA36C9",1)</f>
        <v>=DISPIMG("ID_90A954C05747469F94C31AC9DEBA36C9",1)</v>
      </c>
      <c r="E9" s="14" t="s">
        <v>88</v>
      </c>
      <c r="F9" s="20" t="s">
        <v>89</v>
      </c>
      <c r="G9" s="47" t="s">
        <v>90</v>
      </c>
      <c r="H9" s="48">
        <v>1</v>
      </c>
      <c r="I9" s="23">
        <f t="shared" si="0"/>
        <v>126</v>
      </c>
      <c r="J9" s="23"/>
      <c r="K9" s="23"/>
      <c r="L9" s="14"/>
    </row>
    <row r="10" ht="48" spans="1:12">
      <c r="A10" s="47" t="s">
        <v>91</v>
      </c>
      <c r="B10" s="47" t="s">
        <v>46</v>
      </c>
      <c r="C10" s="14" t="s">
        <v>92</v>
      </c>
      <c r="D10" s="47" t="str">
        <f>_xlfn.DISPIMG("ID_A576311EF15A4AF0BACFAD6AD8DE1FFA",1)</f>
        <v>=DISPIMG("ID_A576311EF15A4AF0BACFAD6AD8DE1FFA",1)</v>
      </c>
      <c r="E10" s="14" t="s">
        <v>93</v>
      </c>
      <c r="F10" s="20" t="s">
        <v>94</v>
      </c>
      <c r="G10" s="47" t="s">
        <v>90</v>
      </c>
      <c r="H10" s="48">
        <v>1</v>
      </c>
      <c r="I10" s="23">
        <f t="shared" si="0"/>
        <v>126</v>
      </c>
      <c r="J10" s="23"/>
      <c r="K10" s="23"/>
      <c r="L10" s="14"/>
    </row>
    <row r="11" ht="84" spans="1:12">
      <c r="A11" s="47" t="s">
        <v>95</v>
      </c>
      <c r="B11" s="47" t="s">
        <v>46</v>
      </c>
      <c r="C11" s="47" t="s">
        <v>96</v>
      </c>
      <c r="D11" s="47" t="str">
        <f>_xlfn.DISPIMG("ID_37A36A5314F8490FB0D833B9CBC70F4D",1)</f>
        <v>=DISPIMG("ID_37A36A5314F8490FB0D833B9CBC70F4D",1)</v>
      </c>
      <c r="E11" s="14" t="s">
        <v>97</v>
      </c>
      <c r="F11" s="20" t="s">
        <v>98</v>
      </c>
      <c r="G11" s="47" t="s">
        <v>85</v>
      </c>
      <c r="H11" s="48">
        <v>6</v>
      </c>
      <c r="I11" s="23">
        <f t="shared" si="0"/>
        <v>756</v>
      </c>
      <c r="J11" s="23"/>
      <c r="K11" s="23"/>
      <c r="L11" s="14" t="s">
        <v>71</v>
      </c>
    </row>
    <row r="12" spans="1:12">
      <c r="A12" s="47" t="s">
        <v>99</v>
      </c>
      <c r="B12" s="47"/>
      <c r="C12" s="47"/>
      <c r="D12" s="47"/>
      <c r="E12" s="14"/>
      <c r="F12" s="14"/>
      <c r="G12" s="47"/>
      <c r="H12" s="48"/>
      <c r="I12" s="48"/>
      <c r="J12" s="48"/>
      <c r="K12" s="48"/>
      <c r="L12" s="47"/>
    </row>
    <row r="13" ht="72" spans="1:12">
      <c r="A13" s="47" t="s">
        <v>100</v>
      </c>
      <c r="B13" s="47" t="s">
        <v>46</v>
      </c>
      <c r="C13" s="47" t="s">
        <v>101</v>
      </c>
      <c r="D13" s="47" t="str">
        <f>_xlfn.DISPIMG("ID_FB3D751AAEFD4B4981328E8A26C36D94",1)</f>
        <v>=DISPIMG("ID_FB3D751AAEFD4B4981328E8A26C36D94",1)</v>
      </c>
      <c r="E13" s="14"/>
      <c r="F13" s="20" t="s">
        <v>102</v>
      </c>
      <c r="G13" s="14" t="s">
        <v>103</v>
      </c>
      <c r="H13" s="48">
        <v>3</v>
      </c>
      <c r="I13" s="48">
        <f>H13*126</f>
        <v>378</v>
      </c>
      <c r="J13" s="23"/>
      <c r="K13" s="23"/>
      <c r="L13" s="14" t="s">
        <v>71</v>
      </c>
    </row>
    <row r="14" ht="72" spans="1:12">
      <c r="A14" s="47" t="s">
        <v>104</v>
      </c>
      <c r="B14" s="47" t="s">
        <v>46</v>
      </c>
      <c r="C14" s="47" t="s">
        <v>105</v>
      </c>
      <c r="D14" s="47" t="str">
        <f>_xlfn.DISPIMG("ID_18CFC58FCE7D403CABA971D2377E9BCC",1)</f>
        <v>=DISPIMG("ID_18CFC58FCE7D403CABA971D2377E9BCC",1)</v>
      </c>
      <c r="E14" s="14"/>
      <c r="F14" s="20" t="s">
        <v>106</v>
      </c>
      <c r="G14" s="14" t="s">
        <v>103</v>
      </c>
      <c r="H14" s="48">
        <v>3</v>
      </c>
      <c r="I14" s="48">
        <f>H14*126</f>
        <v>378</v>
      </c>
      <c r="J14" s="23"/>
      <c r="K14" s="23"/>
      <c r="L14" s="14" t="s">
        <v>71</v>
      </c>
    </row>
    <row r="15" ht="72" spans="1:12">
      <c r="A15" s="47" t="s">
        <v>107</v>
      </c>
      <c r="B15" s="47" t="s">
        <v>46</v>
      </c>
      <c r="C15" s="47" t="s">
        <v>108</v>
      </c>
      <c r="D15" s="47" t="str">
        <f>_xlfn.DISPIMG("ID_229C29F825854BDDBBEBCFF08695B1AF",1)</f>
        <v>=DISPIMG("ID_229C29F825854BDDBBEBCFF08695B1AF",1)</v>
      </c>
      <c r="E15" s="14"/>
      <c r="F15" s="20" t="s">
        <v>109</v>
      </c>
      <c r="G15" s="14" t="s">
        <v>103</v>
      </c>
      <c r="H15" s="48">
        <v>12</v>
      </c>
      <c r="I15" s="48">
        <f>H15*126</f>
        <v>1512</v>
      </c>
      <c r="J15" s="23"/>
      <c r="K15" s="23"/>
      <c r="L15" s="14" t="s">
        <v>71</v>
      </c>
    </row>
    <row r="16" spans="1:12">
      <c r="A16" s="47" t="s">
        <v>110</v>
      </c>
      <c r="B16" s="47"/>
      <c r="C16" s="47"/>
      <c r="D16" s="47"/>
      <c r="E16" s="14"/>
      <c r="F16" s="14"/>
      <c r="G16" s="47"/>
      <c r="H16" s="48"/>
      <c r="I16" s="48"/>
      <c r="J16" s="48"/>
      <c r="K16" s="48"/>
      <c r="L16" s="47"/>
    </row>
  </sheetData>
  <autoFilter ref="A4:L16">
    <extLst/>
  </autoFilter>
  <mergeCells count="4">
    <mergeCell ref="A1:L1"/>
    <mergeCell ref="A2:L2"/>
    <mergeCell ref="J3:K3"/>
    <mergeCell ref="A12:L12"/>
  </mergeCells>
  <pageMargins left="0.357638888888889" right="0.357638888888889" top="0.409027777777778" bottom="0.409027777777778" header="0.5" footer="0.5"/>
  <pageSetup paperSize="9" scale="82"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view="pageBreakPreview" zoomScaleNormal="70" workbookViewId="0">
      <pane xSplit="3" ySplit="4" topLeftCell="D5" activePane="bottomRight" state="frozen"/>
      <selection/>
      <selection pane="topRight"/>
      <selection pane="bottomLeft"/>
      <selection pane="bottomRight" activeCell="K6" sqref="K6"/>
    </sheetView>
  </sheetViews>
  <sheetFormatPr defaultColWidth="12.8416666666667" defaultRowHeight="13.5"/>
  <cols>
    <col min="1" max="1" width="8.475" style="49" customWidth="1"/>
    <col min="2" max="2" width="9.56666666666667" style="49" customWidth="1"/>
    <col min="3" max="3" width="10.1666666666667" style="49" customWidth="1"/>
    <col min="4" max="4" width="12.8416666666667" style="49" customWidth="1"/>
    <col min="5" max="5" width="12.8416666666667" style="42" customWidth="1"/>
    <col min="6" max="6" width="30.6083333333333" style="42" customWidth="1"/>
    <col min="7" max="7" width="7.9" style="49" customWidth="1"/>
    <col min="8" max="8" width="12.8416666666667" style="50" customWidth="1"/>
    <col min="9" max="9" width="9.23333333333333" style="50" customWidth="1"/>
    <col min="10" max="11" width="12.8416666666667" style="50" customWidth="1"/>
    <col min="12" max="26" width="12.8416666666667" style="49" customWidth="1"/>
    <col min="27" max="16378" width="19.3583333333333" style="49" customWidth="1"/>
    <col min="16379" max="16379" width="19.3583333333333" style="49"/>
    <col min="16380" max="16384" width="12.8416666666667" style="49"/>
  </cols>
  <sheetData>
    <row r="1" s="42" customFormat="1" ht="22.5" spans="1:12">
      <c r="A1" s="3" t="str">
        <f>'办公室A（六人间）'!A1</f>
        <v>通航青年国际社区项目4至6号楼家具电器采购(客房)数量清单</v>
      </c>
      <c r="B1" s="3"/>
      <c r="C1" s="3"/>
      <c r="D1" s="3"/>
      <c r="E1" s="3"/>
      <c r="F1" s="3"/>
      <c r="G1" s="3"/>
      <c r="H1" s="5"/>
      <c r="I1" s="5"/>
      <c r="J1" s="5"/>
      <c r="K1" s="5"/>
      <c r="L1" s="3"/>
    </row>
    <row r="2" s="42" customFormat="1" ht="20.25" spans="1:12">
      <c r="A2" s="44" t="s">
        <v>111</v>
      </c>
      <c r="B2" s="44"/>
      <c r="C2" s="44"/>
      <c r="D2" s="44"/>
      <c r="E2" s="44"/>
      <c r="F2" s="44"/>
      <c r="G2" s="44"/>
      <c r="H2" s="45"/>
      <c r="I2" s="45"/>
      <c r="J2" s="45"/>
      <c r="K2" s="45"/>
      <c r="L2" s="44"/>
    </row>
    <row r="3" s="42" customFormat="1" spans="1:12">
      <c r="A3" s="14" t="s">
        <v>47</v>
      </c>
      <c r="B3" s="14" t="s">
        <v>48</v>
      </c>
      <c r="C3" s="14" t="s">
        <v>49</v>
      </c>
      <c r="D3" s="14" t="s">
        <v>50</v>
      </c>
      <c r="E3" s="14" t="s">
        <v>51</v>
      </c>
      <c r="F3" s="14" t="s">
        <v>52</v>
      </c>
      <c r="G3" s="14" t="s">
        <v>53</v>
      </c>
      <c r="H3" s="23" t="s">
        <v>54</v>
      </c>
      <c r="I3" s="23" t="s">
        <v>55</v>
      </c>
      <c r="J3" s="23" t="s">
        <v>21</v>
      </c>
      <c r="K3" s="23"/>
      <c r="L3" s="14" t="s">
        <v>23</v>
      </c>
    </row>
    <row r="4" s="42" customFormat="1" ht="24" spans="1:12">
      <c r="A4" s="14" t="s">
        <v>56</v>
      </c>
      <c r="B4" s="14" t="s">
        <v>57</v>
      </c>
      <c r="C4" s="14" t="s">
        <v>58</v>
      </c>
      <c r="D4" s="14" t="s">
        <v>59</v>
      </c>
      <c r="E4" s="14" t="s">
        <v>60</v>
      </c>
      <c r="F4" s="14"/>
      <c r="G4" s="14" t="s">
        <v>61</v>
      </c>
      <c r="H4" s="23" t="s">
        <v>62</v>
      </c>
      <c r="I4" s="23" t="s">
        <v>62</v>
      </c>
      <c r="J4" s="23" t="s">
        <v>63</v>
      </c>
      <c r="K4" s="23" t="s">
        <v>64</v>
      </c>
      <c r="L4" s="14" t="s">
        <v>65</v>
      </c>
    </row>
    <row r="5" ht="72" spans="1:12">
      <c r="A5" s="47" t="s">
        <v>66</v>
      </c>
      <c r="B5" s="47" t="s">
        <v>111</v>
      </c>
      <c r="C5" s="14" t="s">
        <v>112</v>
      </c>
      <c r="D5" s="47" t="str">
        <f>_xlfn.DISPIMG("ID_0CFD5046E6F844CC82C022698D0894AC",1)</f>
        <v>=DISPIMG("ID_0CFD5046E6F844CC82C022698D0894AC",1)</v>
      </c>
      <c r="E5" s="14" t="s">
        <v>113</v>
      </c>
      <c r="F5" s="20" t="s">
        <v>114</v>
      </c>
      <c r="G5" s="14" t="s">
        <v>85</v>
      </c>
      <c r="H5" s="48">
        <v>1</v>
      </c>
      <c r="I5" s="23">
        <f t="shared" ref="I5:I16" si="0">H5*164</f>
        <v>164</v>
      </c>
      <c r="J5" s="23"/>
      <c r="K5" s="23"/>
      <c r="L5" s="14" t="s">
        <v>71</v>
      </c>
    </row>
    <row r="6" ht="72" spans="1:12">
      <c r="A6" s="47" t="s">
        <v>72</v>
      </c>
      <c r="B6" s="47" t="s">
        <v>111</v>
      </c>
      <c r="C6" s="14" t="s">
        <v>115</v>
      </c>
      <c r="D6" s="47" t="str">
        <f>_xlfn.DISPIMG("ID_F5E782B4FBAC499C9541F3F740BDD13B",1)</f>
        <v>=DISPIMG("ID_F5E782B4FBAC499C9541F3F740BDD13B",1)</v>
      </c>
      <c r="E6" s="14" t="s">
        <v>116</v>
      </c>
      <c r="F6" s="20" t="s">
        <v>117</v>
      </c>
      <c r="G6" s="47" t="s">
        <v>85</v>
      </c>
      <c r="H6" s="48">
        <v>1</v>
      </c>
      <c r="I6" s="23">
        <f t="shared" si="0"/>
        <v>164</v>
      </c>
      <c r="J6" s="23"/>
      <c r="K6" s="23"/>
      <c r="L6" s="14" t="s">
        <v>71</v>
      </c>
    </row>
    <row r="7" ht="132" spans="1:12">
      <c r="A7" s="47" t="s">
        <v>76</v>
      </c>
      <c r="B7" s="47" t="s">
        <v>111</v>
      </c>
      <c r="C7" s="14" t="s">
        <v>118</v>
      </c>
      <c r="D7" s="47" t="str">
        <f>_xlfn.DISPIMG("ID_1CFAFD3ECFDF4B3CB5FA36495D0779C6",1)</f>
        <v>=DISPIMG("ID_1CFAFD3ECFDF4B3CB5FA36495D0779C6",1)</v>
      </c>
      <c r="E7" s="14" t="s">
        <v>119</v>
      </c>
      <c r="F7" s="20" t="s">
        <v>120</v>
      </c>
      <c r="G7" s="47" t="s">
        <v>85</v>
      </c>
      <c r="H7" s="48">
        <v>1</v>
      </c>
      <c r="I7" s="23">
        <f t="shared" si="0"/>
        <v>164</v>
      </c>
      <c r="J7" s="23"/>
      <c r="K7" s="23"/>
      <c r="L7" s="14" t="s">
        <v>71</v>
      </c>
    </row>
    <row r="8" ht="96" spans="1:12">
      <c r="A8" s="47" t="s">
        <v>81</v>
      </c>
      <c r="B8" s="47" t="s">
        <v>111</v>
      </c>
      <c r="C8" s="14" t="s">
        <v>121</v>
      </c>
      <c r="D8" s="47" t="str">
        <f>_xlfn.DISPIMG("ID_2CE5CD431F254F06BB9ECFAD8895E3AA",1)</f>
        <v>=DISPIMG("ID_2CE5CD431F254F06BB9ECFAD8895E3AA",1)</v>
      </c>
      <c r="E8" s="14" t="s">
        <v>122</v>
      </c>
      <c r="F8" s="20" t="s">
        <v>123</v>
      </c>
      <c r="G8" s="47" t="s">
        <v>70</v>
      </c>
      <c r="H8" s="48">
        <v>1</v>
      </c>
      <c r="I8" s="23">
        <f t="shared" si="0"/>
        <v>164</v>
      </c>
      <c r="J8" s="23"/>
      <c r="K8" s="23"/>
      <c r="L8" s="14" t="s">
        <v>71</v>
      </c>
    </row>
    <row r="9" ht="72" spans="1:12">
      <c r="A9" s="47" t="s">
        <v>86</v>
      </c>
      <c r="B9" s="47" t="s">
        <v>111</v>
      </c>
      <c r="C9" s="14" t="s">
        <v>124</v>
      </c>
      <c r="D9" s="47" t="str">
        <f>_xlfn.DISPIMG("ID_862C26F2828940D3A9513CD128F4DC2D",1)</f>
        <v>=DISPIMG("ID_862C26F2828940D3A9513CD128F4DC2D",1)</v>
      </c>
      <c r="E9" s="14" t="s">
        <v>125</v>
      </c>
      <c r="F9" s="20" t="s">
        <v>126</v>
      </c>
      <c r="G9" s="47" t="s">
        <v>85</v>
      </c>
      <c r="H9" s="48">
        <v>1</v>
      </c>
      <c r="I9" s="23">
        <f t="shared" si="0"/>
        <v>164</v>
      </c>
      <c r="J9" s="23"/>
      <c r="K9" s="23"/>
      <c r="L9" s="14" t="s">
        <v>71</v>
      </c>
    </row>
    <row r="10" ht="120" spans="1:12">
      <c r="A10" s="47" t="s">
        <v>91</v>
      </c>
      <c r="B10" s="47" t="s">
        <v>111</v>
      </c>
      <c r="C10" s="14" t="s">
        <v>127</v>
      </c>
      <c r="D10" s="47" t="str">
        <f>_xlfn.DISPIMG("ID_E6F8D7979064435B980EE4B4FF0D44AC",1)</f>
        <v>=DISPIMG("ID_E6F8D7979064435B980EE4B4FF0D44AC",1)</v>
      </c>
      <c r="E10" s="14" t="s">
        <v>128</v>
      </c>
      <c r="F10" s="20" t="s">
        <v>129</v>
      </c>
      <c r="G10" s="47" t="s">
        <v>85</v>
      </c>
      <c r="H10" s="48">
        <v>1</v>
      </c>
      <c r="I10" s="23">
        <f t="shared" si="0"/>
        <v>164</v>
      </c>
      <c r="J10" s="23"/>
      <c r="K10" s="23"/>
      <c r="L10" s="14" t="s">
        <v>71</v>
      </c>
    </row>
    <row r="11" ht="72" spans="1:12">
      <c r="A11" s="47" t="s">
        <v>95</v>
      </c>
      <c r="B11" s="47" t="s">
        <v>111</v>
      </c>
      <c r="C11" s="47" t="s">
        <v>130</v>
      </c>
      <c r="D11" s="47" t="str">
        <f>_xlfn.DISPIMG("ID_D2CE4FF431B1488D9D240BE37B6207F0",1)</f>
        <v>=DISPIMG("ID_D2CE4FF431B1488D9D240BE37B6207F0",1)</v>
      </c>
      <c r="E11" s="14" t="s">
        <v>131</v>
      </c>
      <c r="F11" s="20" t="s">
        <v>132</v>
      </c>
      <c r="G11" s="47" t="s">
        <v>80</v>
      </c>
      <c r="H11" s="48">
        <v>2</v>
      </c>
      <c r="I11" s="23">
        <f t="shared" si="0"/>
        <v>328</v>
      </c>
      <c r="J11" s="23"/>
      <c r="K11" s="23"/>
      <c r="L11" s="14" t="s">
        <v>71</v>
      </c>
    </row>
    <row r="12" ht="96" spans="1:12">
      <c r="A12" s="47" t="s">
        <v>133</v>
      </c>
      <c r="B12" s="47" t="s">
        <v>111</v>
      </c>
      <c r="C12" s="47" t="s">
        <v>96</v>
      </c>
      <c r="D12" s="47" t="str">
        <f>_xlfn.DISPIMG("ID_ECA547AE04E2404391C694FCC439E449",1)</f>
        <v>=DISPIMG("ID_ECA547AE04E2404391C694FCC439E449",1)</v>
      </c>
      <c r="E12" s="14" t="s">
        <v>134</v>
      </c>
      <c r="F12" s="20" t="s">
        <v>135</v>
      </c>
      <c r="G12" s="47" t="s">
        <v>85</v>
      </c>
      <c r="H12" s="48">
        <v>1</v>
      </c>
      <c r="I12" s="23">
        <f t="shared" si="0"/>
        <v>164</v>
      </c>
      <c r="J12" s="23"/>
      <c r="K12" s="23"/>
      <c r="L12" s="14" t="s">
        <v>71</v>
      </c>
    </row>
    <row r="13" ht="48" spans="1:12">
      <c r="A13" s="47" t="s">
        <v>136</v>
      </c>
      <c r="B13" s="47" t="s">
        <v>111</v>
      </c>
      <c r="C13" s="14" t="s">
        <v>87</v>
      </c>
      <c r="D13" s="47" t="str">
        <f>_xlfn.DISPIMG("ID_604B576332BC433F8A8179B138811F22",1)</f>
        <v>=DISPIMG("ID_604B576332BC433F8A8179B138811F22",1)</v>
      </c>
      <c r="E13" s="14" t="s">
        <v>88</v>
      </c>
      <c r="F13" s="20" t="s">
        <v>89</v>
      </c>
      <c r="G13" s="47" t="s">
        <v>90</v>
      </c>
      <c r="H13" s="48">
        <v>1</v>
      </c>
      <c r="I13" s="23">
        <f t="shared" si="0"/>
        <v>164</v>
      </c>
      <c r="J13" s="23"/>
      <c r="K13" s="23"/>
      <c r="L13" s="55"/>
    </row>
    <row r="14" ht="48" spans="1:12">
      <c r="A14" s="47" t="s">
        <v>137</v>
      </c>
      <c r="B14" s="47" t="s">
        <v>111</v>
      </c>
      <c r="C14" s="14" t="s">
        <v>92</v>
      </c>
      <c r="D14" s="47" t="str">
        <f>_xlfn.DISPIMG("ID_BB103CD80F484EA5A8E698019F391C32",1)</f>
        <v>=DISPIMG("ID_BB103CD80F484EA5A8E698019F391C32",1)</v>
      </c>
      <c r="E14" s="14" t="s">
        <v>138</v>
      </c>
      <c r="F14" s="20" t="s">
        <v>139</v>
      </c>
      <c r="G14" s="47" t="s">
        <v>90</v>
      </c>
      <c r="H14" s="48">
        <v>1</v>
      </c>
      <c r="I14" s="23">
        <f t="shared" si="0"/>
        <v>164</v>
      </c>
      <c r="J14" s="23"/>
      <c r="K14" s="23"/>
      <c r="L14" s="55"/>
    </row>
    <row r="15" ht="72" spans="1:12">
      <c r="A15" s="47" t="s">
        <v>140</v>
      </c>
      <c r="B15" s="47" t="s">
        <v>111</v>
      </c>
      <c r="C15" s="47" t="s">
        <v>141</v>
      </c>
      <c r="D15" s="47" t="str">
        <f>_xlfn.DISPIMG("ID_A14E1834E73E43A8BBB1757F042BCD3B",1)</f>
        <v>=DISPIMG("ID_A14E1834E73E43A8BBB1757F042BCD3B",1)</v>
      </c>
      <c r="E15" s="14" t="s">
        <v>142</v>
      </c>
      <c r="F15" s="20" t="s">
        <v>143</v>
      </c>
      <c r="G15" s="47" t="s">
        <v>85</v>
      </c>
      <c r="H15" s="48">
        <v>1</v>
      </c>
      <c r="I15" s="23">
        <f t="shared" si="0"/>
        <v>164</v>
      </c>
      <c r="J15" s="23"/>
      <c r="K15" s="23"/>
      <c r="L15" s="14" t="s">
        <v>71</v>
      </c>
    </row>
    <row r="16" spans="1:12">
      <c r="A16" s="47" t="s">
        <v>99</v>
      </c>
      <c r="B16" s="47"/>
      <c r="C16" s="47"/>
      <c r="D16" s="47"/>
      <c r="E16" s="14"/>
      <c r="F16" s="14"/>
      <c r="G16" s="47"/>
      <c r="H16" s="48"/>
      <c r="I16" s="48"/>
      <c r="J16" s="23"/>
      <c r="K16" s="48"/>
      <c r="L16" s="14"/>
    </row>
    <row r="17" ht="72" spans="1:12">
      <c r="A17" s="47" t="s">
        <v>100</v>
      </c>
      <c r="B17" s="47" t="s">
        <v>111</v>
      </c>
      <c r="C17" s="47" t="s">
        <v>101</v>
      </c>
      <c r="D17" s="47" t="str">
        <f>_xlfn.DISPIMG("ID_25326B6A24C7424EA2C16B4ACCF96323",1)</f>
        <v>=DISPIMG("ID_25326B6A24C7424EA2C16B4ACCF96323",1)</v>
      </c>
      <c r="E17" s="14"/>
      <c r="F17" s="20" t="s">
        <v>102</v>
      </c>
      <c r="G17" s="14" t="s">
        <v>103</v>
      </c>
      <c r="H17" s="48">
        <v>3</v>
      </c>
      <c r="I17" s="23">
        <f>H17*164</f>
        <v>492</v>
      </c>
      <c r="J17" s="23"/>
      <c r="K17" s="23"/>
      <c r="L17" s="14" t="s">
        <v>71</v>
      </c>
    </row>
    <row r="18" ht="72" spans="1:12">
      <c r="A18" s="47" t="s">
        <v>104</v>
      </c>
      <c r="B18" s="47" t="s">
        <v>111</v>
      </c>
      <c r="C18" s="47" t="s">
        <v>144</v>
      </c>
      <c r="D18" s="47" t="str">
        <f>_xlfn.DISPIMG("ID_63929CF0B17D41CF8563C23F418A4712",1)</f>
        <v>=DISPIMG("ID_63929CF0B17D41CF8563C23F418A4712",1)</v>
      </c>
      <c r="E18" s="14"/>
      <c r="F18" s="20" t="s">
        <v>109</v>
      </c>
      <c r="G18" s="14" t="s">
        <v>103</v>
      </c>
      <c r="H18" s="48">
        <v>3</v>
      </c>
      <c r="I18" s="23">
        <f>H18*164</f>
        <v>492</v>
      </c>
      <c r="J18" s="23"/>
      <c r="K18" s="23"/>
      <c r="L18" s="14" t="s">
        <v>71</v>
      </c>
    </row>
    <row r="19" spans="1:12">
      <c r="A19" s="47" t="s">
        <v>110</v>
      </c>
      <c r="B19" s="47"/>
      <c r="C19" s="47"/>
      <c r="D19" s="47"/>
      <c r="E19" s="14"/>
      <c r="F19" s="14"/>
      <c r="G19" s="47"/>
      <c r="H19" s="48"/>
      <c r="I19" s="48"/>
      <c r="J19" s="48"/>
      <c r="K19" s="48"/>
      <c r="L19" s="47"/>
    </row>
  </sheetData>
  <autoFilter ref="A4:L19">
    <extLst/>
  </autoFilter>
  <mergeCells count="4">
    <mergeCell ref="A1:L1"/>
    <mergeCell ref="A2:L2"/>
    <mergeCell ref="J3:K3"/>
    <mergeCell ref="A16:I16"/>
  </mergeCells>
  <pageMargins left="0.357638888888889" right="0.357638888888889" top="0.409027777777778" bottom="0.409027777777778" header="0.5" footer="0.5"/>
  <pageSetup paperSize="9" scale="9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view="pageBreakPreview" zoomScaleNormal="70" workbookViewId="0">
      <pane xSplit="3" ySplit="4" topLeftCell="D7" activePane="bottomRight" state="frozen"/>
      <selection/>
      <selection pane="topRight"/>
      <selection pane="bottomLeft"/>
      <selection pane="bottomRight" activeCell="D7" sqref="D7"/>
    </sheetView>
  </sheetViews>
  <sheetFormatPr defaultColWidth="12.8416666666667" defaultRowHeight="13.5"/>
  <cols>
    <col min="1" max="1" width="9" style="49" customWidth="1"/>
    <col min="2" max="2" width="10.5916666666667" style="49" customWidth="1"/>
    <col min="3" max="4" width="12.8416666666667" style="49" customWidth="1"/>
    <col min="5" max="5" width="12.8416666666667" style="42" customWidth="1"/>
    <col min="6" max="6" width="28.4916666666667" style="42" customWidth="1"/>
    <col min="7" max="7" width="7.59166666666667" style="49" customWidth="1"/>
    <col min="8" max="8" width="12.8416666666667" style="50" hidden="1" customWidth="1"/>
    <col min="9" max="9" width="8.96666666666667" style="50" customWidth="1"/>
    <col min="10" max="11" width="12.8416666666667" style="50" customWidth="1"/>
    <col min="12" max="16378" width="12.8416666666667" style="49" customWidth="1"/>
    <col min="16379" max="16384" width="12.8416666666667" style="49"/>
  </cols>
  <sheetData>
    <row r="1" s="42" customFormat="1" ht="22.5" spans="1:12">
      <c r="A1" s="3" t="str">
        <f>'办公室A（六人间）'!A1</f>
        <v>通航青年国际社区项目4至6号楼家具电器采购(客房)数量清单</v>
      </c>
      <c r="B1" s="3"/>
      <c r="C1" s="3"/>
      <c r="D1" s="3"/>
      <c r="E1" s="3"/>
      <c r="F1" s="3"/>
      <c r="G1" s="3"/>
      <c r="H1" s="5"/>
      <c r="I1" s="5"/>
      <c r="J1" s="5"/>
      <c r="K1" s="5"/>
      <c r="L1" s="3"/>
    </row>
    <row r="2" s="42" customFormat="1" ht="20.25" spans="1:12">
      <c r="A2" s="44" t="s">
        <v>145</v>
      </c>
      <c r="B2" s="44"/>
      <c r="C2" s="44"/>
      <c r="D2" s="44"/>
      <c r="E2" s="44"/>
      <c r="F2" s="44"/>
      <c r="G2" s="44"/>
      <c r="H2" s="45"/>
      <c r="I2" s="45"/>
      <c r="J2" s="45"/>
      <c r="K2" s="45"/>
      <c r="L2" s="44"/>
    </row>
    <row r="3" s="42" customFormat="1" spans="1:12">
      <c r="A3" s="14" t="s">
        <v>47</v>
      </c>
      <c r="B3" s="14" t="s">
        <v>48</v>
      </c>
      <c r="C3" s="14" t="s">
        <v>49</v>
      </c>
      <c r="D3" s="14" t="s">
        <v>50</v>
      </c>
      <c r="E3" s="14" t="s">
        <v>51</v>
      </c>
      <c r="F3" s="14" t="s">
        <v>52</v>
      </c>
      <c r="G3" s="14" t="s">
        <v>53</v>
      </c>
      <c r="H3" s="23" t="s">
        <v>54</v>
      </c>
      <c r="I3" s="23" t="s">
        <v>55</v>
      </c>
      <c r="J3" s="23" t="s">
        <v>21</v>
      </c>
      <c r="K3" s="23"/>
      <c r="L3" s="14" t="s">
        <v>23</v>
      </c>
    </row>
    <row r="4" s="42" customFormat="1" ht="24" spans="1:12">
      <c r="A4" s="14" t="s">
        <v>56</v>
      </c>
      <c r="B4" s="14" t="s">
        <v>57</v>
      </c>
      <c r="C4" s="14" t="s">
        <v>58</v>
      </c>
      <c r="D4" s="14" t="s">
        <v>59</v>
      </c>
      <c r="E4" s="14" t="s">
        <v>60</v>
      </c>
      <c r="F4" s="14"/>
      <c r="G4" s="14" t="s">
        <v>61</v>
      </c>
      <c r="H4" s="23" t="s">
        <v>62</v>
      </c>
      <c r="I4" s="23" t="s">
        <v>62</v>
      </c>
      <c r="J4" s="23" t="s">
        <v>63</v>
      </c>
      <c r="K4" s="23" t="s">
        <v>64</v>
      </c>
      <c r="L4" s="14" t="s">
        <v>65</v>
      </c>
    </row>
    <row r="5" ht="72" spans="1:12">
      <c r="A5" s="47" t="s">
        <v>66</v>
      </c>
      <c r="B5" s="47" t="s">
        <v>111</v>
      </c>
      <c r="C5" s="14" t="s">
        <v>112</v>
      </c>
      <c r="D5" s="47" t="str">
        <f>_xlfn.DISPIMG("ID_6D66F0EF45104D9098D9D686D3E6F993",1)</f>
        <v>=DISPIMG("ID_6D66F0EF45104D9098D9D686D3E6F993",1)</v>
      </c>
      <c r="E5" s="14" t="s">
        <v>113</v>
      </c>
      <c r="F5" s="20" t="s">
        <v>114</v>
      </c>
      <c r="G5" s="14" t="s">
        <v>85</v>
      </c>
      <c r="H5" s="48">
        <v>1</v>
      </c>
      <c r="I5" s="23">
        <f>H5*164</f>
        <v>164</v>
      </c>
      <c r="J5" s="23"/>
      <c r="K5" s="23"/>
      <c r="L5" s="14" t="s">
        <v>71</v>
      </c>
    </row>
    <row r="6" ht="72" spans="1:12">
      <c r="A6" s="47" t="s">
        <v>72</v>
      </c>
      <c r="B6" s="47" t="s">
        <v>111</v>
      </c>
      <c r="C6" s="14" t="s">
        <v>115</v>
      </c>
      <c r="D6" s="47" t="str">
        <f>_xlfn.DISPIMG("ID_F9175557B4324A44A991D1AA537BF00A",1)</f>
        <v>=DISPIMG("ID_F9175557B4324A44A991D1AA537BF00A",1)</v>
      </c>
      <c r="E6" s="14" t="s">
        <v>146</v>
      </c>
      <c r="F6" s="20" t="s">
        <v>117</v>
      </c>
      <c r="G6" s="47" t="s">
        <v>85</v>
      </c>
      <c r="H6" s="48">
        <v>1</v>
      </c>
      <c r="I6" s="23">
        <f t="shared" ref="I6:I16" si="0">H6*80</f>
        <v>80</v>
      </c>
      <c r="J6" s="23"/>
      <c r="K6" s="23"/>
      <c r="L6" s="14" t="s">
        <v>71</v>
      </c>
    </row>
    <row r="7" ht="156" spans="1:12">
      <c r="A7" s="47" t="s">
        <v>76</v>
      </c>
      <c r="B7" s="47" t="s">
        <v>111</v>
      </c>
      <c r="C7" s="14" t="s">
        <v>118</v>
      </c>
      <c r="D7" s="47" t="str">
        <f>_xlfn.DISPIMG("ID_989278B38B1744379F31FC620E23EF44",1)</f>
        <v>=DISPIMG("ID_989278B38B1744379F31FC620E23EF44",1)</v>
      </c>
      <c r="E7" s="14" t="s">
        <v>147</v>
      </c>
      <c r="F7" s="20" t="s">
        <v>120</v>
      </c>
      <c r="G7" s="47" t="s">
        <v>85</v>
      </c>
      <c r="H7" s="48">
        <v>1</v>
      </c>
      <c r="I7" s="23">
        <f t="shared" si="0"/>
        <v>80</v>
      </c>
      <c r="J7" s="23"/>
      <c r="K7" s="23"/>
      <c r="L7" s="14" t="s">
        <v>71</v>
      </c>
    </row>
    <row r="8" ht="120" spans="1:12">
      <c r="A8" s="47" t="s">
        <v>81</v>
      </c>
      <c r="B8" s="47" t="s">
        <v>111</v>
      </c>
      <c r="C8" s="14" t="s">
        <v>121</v>
      </c>
      <c r="D8" s="47" t="str">
        <f>_xlfn.DISPIMG("ID_B54E7A7033E94F638E1FA90042149872",1)</f>
        <v>=DISPIMG("ID_B54E7A7033E94F638E1FA90042149872",1)</v>
      </c>
      <c r="E8" s="46" t="s">
        <v>148</v>
      </c>
      <c r="F8" s="20" t="s">
        <v>123</v>
      </c>
      <c r="G8" s="47" t="s">
        <v>70</v>
      </c>
      <c r="H8" s="48">
        <v>2</v>
      </c>
      <c r="I8" s="23">
        <f t="shared" si="0"/>
        <v>160</v>
      </c>
      <c r="J8" s="23"/>
      <c r="K8" s="23"/>
      <c r="L8" s="14" t="s">
        <v>71</v>
      </c>
    </row>
    <row r="9" ht="72" spans="1:12">
      <c r="A9" s="47" t="s">
        <v>86</v>
      </c>
      <c r="B9" s="47" t="s">
        <v>111</v>
      </c>
      <c r="C9" s="14" t="s">
        <v>124</v>
      </c>
      <c r="D9" s="47" t="str">
        <f>_xlfn.DISPIMG("ID_72E7DA154624473886ED4BD37DA67A88",1)</f>
        <v>=DISPIMG("ID_72E7DA154624473886ED4BD37DA67A88",1)</v>
      </c>
      <c r="E9" s="14" t="s">
        <v>149</v>
      </c>
      <c r="F9" s="20" t="s">
        <v>126</v>
      </c>
      <c r="G9" s="47" t="s">
        <v>85</v>
      </c>
      <c r="H9" s="48">
        <v>1</v>
      </c>
      <c r="I9" s="23">
        <f t="shared" si="0"/>
        <v>80</v>
      </c>
      <c r="J9" s="23"/>
      <c r="K9" s="23"/>
      <c r="L9" s="14" t="s">
        <v>71</v>
      </c>
    </row>
    <row r="10" ht="144" spans="1:12">
      <c r="A10" s="47" t="s">
        <v>91</v>
      </c>
      <c r="B10" s="47" t="s">
        <v>111</v>
      </c>
      <c r="C10" s="14" t="s">
        <v>127</v>
      </c>
      <c r="D10" s="47" t="str">
        <f>_xlfn.DISPIMG("ID_47568858B40D4F9B99F50664B16D1E0C",1)</f>
        <v>=DISPIMG("ID_47568858B40D4F9B99F50664B16D1E0C",1)</v>
      </c>
      <c r="E10" s="14" t="s">
        <v>128</v>
      </c>
      <c r="F10" s="20" t="s">
        <v>129</v>
      </c>
      <c r="G10" s="47" t="s">
        <v>85</v>
      </c>
      <c r="H10" s="48">
        <v>1</v>
      </c>
      <c r="I10" s="23">
        <f t="shared" si="0"/>
        <v>80</v>
      </c>
      <c r="J10" s="23"/>
      <c r="K10" s="23"/>
      <c r="L10" s="14" t="s">
        <v>71</v>
      </c>
    </row>
    <row r="11" ht="72" spans="1:12">
      <c r="A11" s="47" t="s">
        <v>95</v>
      </c>
      <c r="B11" s="47" t="s">
        <v>111</v>
      </c>
      <c r="C11" s="47" t="s">
        <v>130</v>
      </c>
      <c r="D11" s="47" t="str">
        <f>_xlfn.DISPIMG("ID_7570EF6A9D91486B80F4D2599960C253",1)</f>
        <v>=DISPIMG("ID_7570EF6A9D91486B80F4D2599960C253",1)</v>
      </c>
      <c r="E11" s="14" t="s">
        <v>131</v>
      </c>
      <c r="F11" s="20" t="s">
        <v>132</v>
      </c>
      <c r="G11" s="47" t="s">
        <v>80</v>
      </c>
      <c r="H11" s="48">
        <v>2</v>
      </c>
      <c r="I11" s="23">
        <f t="shared" si="0"/>
        <v>160</v>
      </c>
      <c r="J11" s="23"/>
      <c r="K11" s="23"/>
      <c r="L11" s="14" t="s">
        <v>71</v>
      </c>
    </row>
    <row r="12" ht="108" spans="1:12">
      <c r="A12" s="47" t="s">
        <v>133</v>
      </c>
      <c r="B12" s="47" t="s">
        <v>111</v>
      </c>
      <c r="C12" s="47" t="s">
        <v>96</v>
      </c>
      <c r="D12" s="47" t="str">
        <f>_xlfn.DISPIMG("ID_FC8A7313D0D047B39E5D80AEDC63CFBC",1)</f>
        <v>=DISPIMG("ID_FC8A7313D0D047B39E5D80AEDC63CFBC",1)</v>
      </c>
      <c r="E12" s="46" t="s">
        <v>150</v>
      </c>
      <c r="F12" s="20" t="s">
        <v>135</v>
      </c>
      <c r="G12" s="47" t="s">
        <v>85</v>
      </c>
      <c r="H12" s="48">
        <v>2</v>
      </c>
      <c r="I12" s="23">
        <f t="shared" si="0"/>
        <v>160</v>
      </c>
      <c r="J12" s="23"/>
      <c r="K12" s="23"/>
      <c r="L12" s="14" t="s">
        <v>71</v>
      </c>
    </row>
    <row r="13" ht="48" spans="1:12">
      <c r="A13" s="47" t="s">
        <v>136</v>
      </c>
      <c r="B13" s="47" t="s">
        <v>111</v>
      </c>
      <c r="C13" s="14" t="s">
        <v>87</v>
      </c>
      <c r="D13" s="47" t="str">
        <f>_xlfn.DISPIMG("ID_920F637735A54E75B8ADD825D66C2277",1)</f>
        <v>=DISPIMG("ID_920F637735A54E75B8ADD825D66C2277",1)</v>
      </c>
      <c r="E13" s="14" t="s">
        <v>88</v>
      </c>
      <c r="F13" s="20" t="s">
        <v>89</v>
      </c>
      <c r="G13" s="47" t="s">
        <v>90</v>
      </c>
      <c r="H13" s="48">
        <v>1</v>
      </c>
      <c r="I13" s="23">
        <f t="shared" si="0"/>
        <v>80</v>
      </c>
      <c r="J13" s="23"/>
      <c r="K13" s="23"/>
      <c r="L13" s="14"/>
    </row>
    <row r="14" ht="48" spans="1:12">
      <c r="A14" s="47" t="s">
        <v>137</v>
      </c>
      <c r="B14" s="47" t="s">
        <v>111</v>
      </c>
      <c r="C14" s="14" t="s">
        <v>92</v>
      </c>
      <c r="D14" s="47" t="str">
        <f>_xlfn.DISPIMG("ID_6A1DE7546E1145E6AFD3765047ADE0BA",1)</f>
        <v>=DISPIMG("ID_6A1DE7546E1145E6AFD3765047ADE0BA",1)</v>
      </c>
      <c r="E14" s="14" t="s">
        <v>138</v>
      </c>
      <c r="F14" s="20" t="s">
        <v>139</v>
      </c>
      <c r="G14" s="47" t="s">
        <v>90</v>
      </c>
      <c r="H14" s="48">
        <v>1</v>
      </c>
      <c r="I14" s="23">
        <f t="shared" si="0"/>
        <v>80</v>
      </c>
      <c r="J14" s="23"/>
      <c r="K14" s="23"/>
      <c r="L14" s="14"/>
    </row>
    <row r="15" ht="72" spans="1:12">
      <c r="A15" s="47" t="s">
        <v>140</v>
      </c>
      <c r="B15" s="47" t="s">
        <v>111</v>
      </c>
      <c r="C15" s="47" t="s">
        <v>141</v>
      </c>
      <c r="D15" s="47" t="str">
        <f>_xlfn.DISPIMG("ID_AFC2E019D13F4D8F9C1D73378862FB2C",1)</f>
        <v>=DISPIMG("ID_AFC2E019D13F4D8F9C1D73378862FB2C",1)</v>
      </c>
      <c r="E15" s="14" t="s">
        <v>142</v>
      </c>
      <c r="F15" s="20" t="s">
        <v>143</v>
      </c>
      <c r="G15" s="47" t="s">
        <v>85</v>
      </c>
      <c r="H15" s="48">
        <v>1</v>
      </c>
      <c r="I15" s="23">
        <f t="shared" si="0"/>
        <v>80</v>
      </c>
      <c r="J15" s="23"/>
      <c r="K15" s="23"/>
      <c r="L15" s="14" t="s">
        <v>71</v>
      </c>
    </row>
    <row r="16" spans="1:12">
      <c r="A16" s="47" t="s">
        <v>99</v>
      </c>
      <c r="B16" s="47"/>
      <c r="C16" s="47"/>
      <c r="D16" s="47"/>
      <c r="E16" s="14"/>
      <c r="F16" s="14"/>
      <c r="G16" s="47"/>
      <c r="H16" s="48"/>
      <c r="I16" s="48"/>
      <c r="J16" s="23"/>
      <c r="K16" s="48"/>
      <c r="L16" s="47"/>
    </row>
    <row r="17" ht="72" spans="1:12">
      <c r="A17" s="47" t="s">
        <v>100</v>
      </c>
      <c r="B17" s="47" t="s">
        <v>111</v>
      </c>
      <c r="C17" s="47" t="s">
        <v>101</v>
      </c>
      <c r="D17" s="47" t="str">
        <f>_xlfn.DISPIMG("ID_749E0EBE6BB34289A2160322091EE1AC",1)</f>
        <v>=DISPIMG("ID_749E0EBE6BB34289A2160322091EE1AC",1)</v>
      </c>
      <c r="E17" s="14"/>
      <c r="F17" s="20" t="s">
        <v>102</v>
      </c>
      <c r="G17" s="14" t="s">
        <v>103</v>
      </c>
      <c r="H17" s="48">
        <v>3</v>
      </c>
      <c r="I17" s="48">
        <f>H17*80</f>
        <v>240</v>
      </c>
      <c r="J17" s="23"/>
      <c r="K17" s="23"/>
      <c r="L17" s="14" t="s">
        <v>71</v>
      </c>
    </row>
    <row r="18" ht="72" spans="1:12">
      <c r="A18" s="47" t="s">
        <v>104</v>
      </c>
      <c r="B18" s="47" t="s">
        <v>111</v>
      </c>
      <c r="C18" s="47" t="s">
        <v>144</v>
      </c>
      <c r="D18" s="47" t="str">
        <f>_xlfn.DISPIMG("ID_C5C1E923B62544D897C172D3D45C314B",1)</f>
        <v>=DISPIMG("ID_C5C1E923B62544D897C172D3D45C314B",1)</v>
      </c>
      <c r="E18" s="14"/>
      <c r="F18" s="20" t="s">
        <v>109</v>
      </c>
      <c r="G18" s="14" t="s">
        <v>103</v>
      </c>
      <c r="H18" s="48">
        <v>3</v>
      </c>
      <c r="I18" s="48">
        <f>H18*80</f>
        <v>240</v>
      </c>
      <c r="J18" s="23"/>
      <c r="K18" s="23"/>
      <c r="L18" s="14" t="s">
        <v>71</v>
      </c>
    </row>
    <row r="19" spans="1:12">
      <c r="A19" s="56" t="s">
        <v>110</v>
      </c>
      <c r="B19" s="56"/>
      <c r="C19" s="56"/>
      <c r="D19" s="56"/>
      <c r="E19" s="57"/>
      <c r="F19" s="57"/>
      <c r="G19" s="56"/>
      <c r="H19" s="58"/>
      <c r="I19" s="58"/>
      <c r="J19" s="58"/>
      <c r="K19" s="58"/>
      <c r="L19" s="56"/>
    </row>
  </sheetData>
  <autoFilter ref="A4:L19">
    <extLst/>
  </autoFilter>
  <mergeCells count="3">
    <mergeCell ref="A1:L1"/>
    <mergeCell ref="A2:L2"/>
    <mergeCell ref="J3:K3"/>
  </mergeCells>
  <pageMargins left="0.357638888888889" right="0.357638888888889" top="0.409027777777778" bottom="0.409027777777778" header="0.5" footer="0.5"/>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view="pageBreakPreview" zoomScale="85" zoomScaleNormal="70" workbookViewId="0">
      <pane xSplit="3" ySplit="4" topLeftCell="D9" activePane="bottomRight" state="frozen"/>
      <selection/>
      <selection pane="topRight"/>
      <selection pane="bottomLeft"/>
      <selection pane="bottomRight" activeCell="F12" sqref="F12"/>
    </sheetView>
  </sheetViews>
  <sheetFormatPr defaultColWidth="12.8416666666667" defaultRowHeight="13.5"/>
  <cols>
    <col min="1" max="1" width="9.65833333333333" style="49" customWidth="1"/>
    <col min="2" max="2" width="10.325" style="49" customWidth="1"/>
    <col min="3" max="4" width="12.8416666666667" style="49" customWidth="1"/>
    <col min="5" max="5" width="12.8416666666667" style="42" customWidth="1"/>
    <col min="6" max="6" width="30.0833333333333" style="42" customWidth="1"/>
    <col min="7" max="7" width="7.44166666666667" style="49" customWidth="1"/>
    <col min="8" max="8" width="12.8416666666667" style="50" hidden="1" customWidth="1"/>
    <col min="9" max="9" width="8.825" style="50" customWidth="1"/>
    <col min="10" max="11" width="12.8416666666667" style="50" customWidth="1"/>
    <col min="12" max="16378" width="12.8416666666667" style="49" customWidth="1"/>
    <col min="16379" max="16384" width="12.8416666666667" style="49"/>
  </cols>
  <sheetData>
    <row r="1" s="42" customFormat="1" ht="22.5" spans="1:12">
      <c r="A1" s="3" t="str">
        <f>'办公室A（六人间）'!A1</f>
        <v>通航青年国际社区项目4至6号楼家具电器采购(客房)数量清单</v>
      </c>
      <c r="B1" s="3"/>
      <c r="C1" s="3"/>
      <c r="D1" s="3"/>
      <c r="E1" s="3"/>
      <c r="F1" s="3"/>
      <c r="G1" s="3"/>
      <c r="H1" s="5"/>
      <c r="I1" s="5"/>
      <c r="J1" s="5"/>
      <c r="K1" s="5"/>
      <c r="L1" s="3"/>
    </row>
    <row r="2" s="42" customFormat="1" ht="20.25" spans="1:12">
      <c r="A2" s="44" t="s">
        <v>151</v>
      </c>
      <c r="B2" s="44"/>
      <c r="C2" s="44"/>
      <c r="D2" s="44"/>
      <c r="E2" s="44"/>
      <c r="F2" s="44"/>
      <c r="G2" s="44"/>
      <c r="H2" s="45"/>
      <c r="I2" s="45"/>
      <c r="J2" s="45"/>
      <c r="K2" s="45"/>
      <c r="L2" s="44"/>
    </row>
    <row r="3" s="42" customFormat="1" spans="1:12">
      <c r="A3" s="59" t="s">
        <v>47</v>
      </c>
      <c r="B3" s="59" t="s">
        <v>48</v>
      </c>
      <c r="C3" s="59" t="s">
        <v>49</v>
      </c>
      <c r="D3" s="59" t="s">
        <v>50</v>
      </c>
      <c r="E3" s="59" t="s">
        <v>51</v>
      </c>
      <c r="F3" s="59" t="s">
        <v>52</v>
      </c>
      <c r="G3" s="59" t="s">
        <v>53</v>
      </c>
      <c r="H3" s="60" t="s">
        <v>54</v>
      </c>
      <c r="I3" s="60" t="s">
        <v>55</v>
      </c>
      <c r="J3" s="60" t="s">
        <v>21</v>
      </c>
      <c r="K3" s="60"/>
      <c r="L3" s="59" t="s">
        <v>23</v>
      </c>
    </row>
    <row r="4" s="42" customFormat="1" ht="24" spans="1:12">
      <c r="A4" s="59" t="s">
        <v>56</v>
      </c>
      <c r="B4" s="59" t="s">
        <v>57</v>
      </c>
      <c r="C4" s="59" t="s">
        <v>58</v>
      </c>
      <c r="D4" s="59" t="s">
        <v>59</v>
      </c>
      <c r="E4" s="59" t="s">
        <v>60</v>
      </c>
      <c r="F4" s="59"/>
      <c r="G4" s="59" t="s">
        <v>61</v>
      </c>
      <c r="H4" s="60" t="s">
        <v>62</v>
      </c>
      <c r="I4" s="60"/>
      <c r="J4" s="60" t="s">
        <v>63</v>
      </c>
      <c r="K4" s="60" t="s">
        <v>64</v>
      </c>
      <c r="L4" s="59" t="s">
        <v>65</v>
      </c>
    </row>
    <row r="5" ht="72" spans="1:12">
      <c r="A5" s="61" t="s">
        <v>66</v>
      </c>
      <c r="B5" s="61" t="s">
        <v>151</v>
      </c>
      <c r="C5" s="59" t="s">
        <v>112</v>
      </c>
      <c r="D5" s="61" t="str">
        <f>_xlfn.DISPIMG("ID_9DF7E7A271724573B409B3B265289A94",1)</f>
        <v>=DISPIMG("ID_9DF7E7A271724573B409B3B265289A94",1)</v>
      </c>
      <c r="E5" s="59" t="s">
        <v>152</v>
      </c>
      <c r="F5" s="62" t="s">
        <v>153</v>
      </c>
      <c r="G5" s="59" t="s">
        <v>85</v>
      </c>
      <c r="H5" s="63">
        <v>1</v>
      </c>
      <c r="I5" s="60">
        <f t="shared" ref="I5:I14" si="0">H5*44</f>
        <v>44</v>
      </c>
      <c r="J5" s="60"/>
      <c r="K5" s="60"/>
      <c r="L5" s="59" t="s">
        <v>71</v>
      </c>
    </row>
    <row r="6" ht="96" spans="1:12">
      <c r="A6" s="61" t="s">
        <v>72</v>
      </c>
      <c r="B6" s="61" t="s">
        <v>151</v>
      </c>
      <c r="C6" s="59" t="s">
        <v>121</v>
      </c>
      <c r="D6" s="61" t="str">
        <f>_xlfn.DISPIMG("ID_46A7F3E16B964A169A3542D42CDAEB17",1)</f>
        <v>=DISPIMG("ID_46A7F3E16B964A169A3542D42CDAEB17",1)</v>
      </c>
      <c r="E6" s="59" t="s">
        <v>122</v>
      </c>
      <c r="F6" s="62" t="s">
        <v>123</v>
      </c>
      <c r="G6" s="61" t="s">
        <v>70</v>
      </c>
      <c r="H6" s="63">
        <v>1</v>
      </c>
      <c r="I6" s="60">
        <f t="shared" si="0"/>
        <v>44</v>
      </c>
      <c r="J6" s="60"/>
      <c r="K6" s="60"/>
      <c r="L6" s="59" t="s">
        <v>71</v>
      </c>
    </row>
    <row r="7" ht="72" spans="1:12">
      <c r="A7" s="61" t="s">
        <v>76</v>
      </c>
      <c r="B7" s="61" t="s">
        <v>151</v>
      </c>
      <c r="C7" s="59" t="s">
        <v>124</v>
      </c>
      <c r="D7" s="61" t="str">
        <f>_xlfn.DISPIMG("ID_1E0C1CD9B17C45F093DBAB6AAB8DB55D",1)</f>
        <v>=DISPIMG("ID_1E0C1CD9B17C45F093DBAB6AAB8DB55D",1)</v>
      </c>
      <c r="E7" s="59" t="s">
        <v>125</v>
      </c>
      <c r="F7" s="62" t="s">
        <v>126</v>
      </c>
      <c r="G7" s="61" t="s">
        <v>85</v>
      </c>
      <c r="H7" s="63">
        <v>1</v>
      </c>
      <c r="I7" s="60">
        <f t="shared" si="0"/>
        <v>44</v>
      </c>
      <c r="J7" s="60"/>
      <c r="K7" s="60"/>
      <c r="L7" s="59" t="s">
        <v>71</v>
      </c>
    </row>
    <row r="8" ht="144" spans="1:12">
      <c r="A8" s="61" t="s">
        <v>81</v>
      </c>
      <c r="B8" s="61" t="s">
        <v>151</v>
      </c>
      <c r="C8" s="59" t="s">
        <v>154</v>
      </c>
      <c r="D8" s="61" t="str">
        <f>_xlfn.DISPIMG("ID_44E4126659AC4587A0702DCD2E616F17",1)</f>
        <v>=DISPIMG("ID_44E4126659AC4587A0702DCD2E616F17",1)</v>
      </c>
      <c r="E8" s="59" t="s">
        <v>155</v>
      </c>
      <c r="F8" s="62" t="s">
        <v>75</v>
      </c>
      <c r="G8" s="61" t="s">
        <v>85</v>
      </c>
      <c r="H8" s="63">
        <v>1</v>
      </c>
      <c r="I8" s="60">
        <f t="shared" si="0"/>
        <v>44</v>
      </c>
      <c r="J8" s="60"/>
      <c r="K8" s="60"/>
      <c r="L8" s="59" t="s">
        <v>71</v>
      </c>
    </row>
    <row r="9" ht="108" spans="1:12">
      <c r="A9" s="61" t="s">
        <v>86</v>
      </c>
      <c r="B9" s="61" t="s">
        <v>151</v>
      </c>
      <c r="C9" s="61" t="s">
        <v>156</v>
      </c>
      <c r="D9" s="61" t="str">
        <f>_xlfn.DISPIMG("ID_25A97F9A219E41B286D6FFEC8AA3192F",1)</f>
        <v>=DISPIMG("ID_25A97F9A219E41B286D6FFEC8AA3192F",1)</v>
      </c>
      <c r="E9" s="59" t="s">
        <v>78</v>
      </c>
      <c r="F9" s="62" t="s">
        <v>79</v>
      </c>
      <c r="G9" s="61" t="s">
        <v>80</v>
      </c>
      <c r="H9" s="63">
        <v>2</v>
      </c>
      <c r="I9" s="60">
        <f t="shared" si="0"/>
        <v>88</v>
      </c>
      <c r="J9" s="60"/>
      <c r="K9" s="60"/>
      <c r="L9" s="59" t="s">
        <v>71</v>
      </c>
    </row>
    <row r="10" ht="96" spans="1:12">
      <c r="A10" s="61" t="s">
        <v>91</v>
      </c>
      <c r="B10" s="61" t="s">
        <v>151</v>
      </c>
      <c r="C10" s="61" t="s">
        <v>96</v>
      </c>
      <c r="D10" s="61" t="str">
        <f>_xlfn.DISPIMG("ID_8463A32B3C1F416DA8C653EDF326741C",1)</f>
        <v>=DISPIMG("ID_8463A32B3C1F416DA8C653EDF326741C",1)</v>
      </c>
      <c r="E10" s="59" t="s">
        <v>157</v>
      </c>
      <c r="F10" s="62" t="s">
        <v>158</v>
      </c>
      <c r="G10" s="61" t="s">
        <v>85</v>
      </c>
      <c r="H10" s="63">
        <v>1</v>
      </c>
      <c r="I10" s="60">
        <f t="shared" si="0"/>
        <v>44</v>
      </c>
      <c r="J10" s="60"/>
      <c r="K10" s="60"/>
      <c r="L10" s="59" t="s">
        <v>71</v>
      </c>
    </row>
    <row r="11" ht="48" spans="1:12">
      <c r="A11" s="61" t="s">
        <v>95</v>
      </c>
      <c r="B11" s="61" t="s">
        <v>151</v>
      </c>
      <c r="C11" s="59" t="s">
        <v>87</v>
      </c>
      <c r="D11" s="61" t="str">
        <f>_xlfn.DISPIMG("ID_D4C0F145EEBA45D696F12909A92D4030",1)</f>
        <v>=DISPIMG("ID_D4C0F145EEBA45D696F12909A92D4030",1)</v>
      </c>
      <c r="E11" s="59" t="s">
        <v>159</v>
      </c>
      <c r="F11" s="62" t="s">
        <v>160</v>
      </c>
      <c r="G11" s="61" t="s">
        <v>90</v>
      </c>
      <c r="H11" s="63">
        <v>1</v>
      </c>
      <c r="I11" s="60">
        <f t="shared" si="0"/>
        <v>44</v>
      </c>
      <c r="J11" s="60"/>
      <c r="K11" s="60"/>
      <c r="L11" s="59"/>
    </row>
    <row r="12" ht="59" customHeight="1" spans="1:12">
      <c r="A12" s="61" t="s">
        <v>133</v>
      </c>
      <c r="B12" s="61" t="s">
        <v>151</v>
      </c>
      <c r="C12" s="59" t="s">
        <v>92</v>
      </c>
      <c r="D12" s="61" t="str">
        <f>_xlfn.DISPIMG("ID_CA4F407B0CEB4FC8A57B30F02AC0A780",1)</f>
        <v>=DISPIMG("ID_CA4F407B0CEB4FC8A57B30F02AC0A780",1)</v>
      </c>
      <c r="E12" s="59" t="s">
        <v>138</v>
      </c>
      <c r="F12" s="62" t="s">
        <v>139</v>
      </c>
      <c r="G12" s="61" t="s">
        <v>90</v>
      </c>
      <c r="H12" s="63">
        <v>1</v>
      </c>
      <c r="I12" s="60">
        <f t="shared" si="0"/>
        <v>44</v>
      </c>
      <c r="J12" s="60"/>
      <c r="K12" s="60"/>
      <c r="L12" s="59"/>
    </row>
    <row r="13" ht="72" spans="1:12">
      <c r="A13" s="61" t="s">
        <v>137</v>
      </c>
      <c r="B13" s="61" t="s">
        <v>151</v>
      </c>
      <c r="C13" s="61" t="s">
        <v>141</v>
      </c>
      <c r="D13" s="61" t="str">
        <f>_xlfn.DISPIMG("ID_0F9095197BE5417385C3ADD2A2640567",1)</f>
        <v>=DISPIMG("ID_0F9095197BE5417385C3ADD2A2640567",1)</v>
      </c>
      <c r="E13" s="59" t="s">
        <v>142</v>
      </c>
      <c r="F13" s="62" t="s">
        <v>143</v>
      </c>
      <c r="G13" s="61" t="s">
        <v>85</v>
      </c>
      <c r="H13" s="63">
        <v>1</v>
      </c>
      <c r="I13" s="60">
        <f t="shared" si="0"/>
        <v>44</v>
      </c>
      <c r="J13" s="60"/>
      <c r="K13" s="60"/>
      <c r="L13" s="59" t="s">
        <v>71</v>
      </c>
    </row>
    <row r="14" spans="1:12">
      <c r="A14" s="61" t="s">
        <v>99</v>
      </c>
      <c r="B14" s="61"/>
      <c r="C14" s="61"/>
      <c r="D14" s="61"/>
      <c r="E14" s="59"/>
      <c r="F14" s="59"/>
      <c r="G14" s="61"/>
      <c r="H14" s="63"/>
      <c r="I14" s="63"/>
      <c r="J14" s="60"/>
      <c r="K14" s="63"/>
      <c r="L14" s="64"/>
    </row>
    <row r="15" ht="72" spans="1:12">
      <c r="A15" s="61" t="s">
        <v>100</v>
      </c>
      <c r="B15" s="61" t="s">
        <v>151</v>
      </c>
      <c r="C15" s="61" t="s">
        <v>101</v>
      </c>
      <c r="D15" s="61" t="str">
        <f>_xlfn.DISPIMG("ID_DC2560BC24C24364AA58C38E729A9312",1)</f>
        <v>=DISPIMG("ID_DC2560BC24C24364AA58C38E729A9312",1)</v>
      </c>
      <c r="E15" s="59"/>
      <c r="F15" s="62" t="s">
        <v>102</v>
      </c>
      <c r="G15" s="59" t="s">
        <v>103</v>
      </c>
      <c r="H15" s="63">
        <v>12</v>
      </c>
      <c r="I15" s="60">
        <f>H15*44</f>
        <v>528</v>
      </c>
      <c r="J15" s="60"/>
      <c r="K15" s="60"/>
      <c r="L15" s="59" t="s">
        <v>71</v>
      </c>
    </row>
    <row r="16" ht="72" spans="1:12">
      <c r="A16" s="61" t="s">
        <v>104</v>
      </c>
      <c r="B16" s="61" t="s">
        <v>151</v>
      </c>
      <c r="C16" s="61" t="s">
        <v>105</v>
      </c>
      <c r="D16" s="61" t="str">
        <f>_xlfn.DISPIMG("ID_6E0064E8BC354EE0A60FFC463478C5EA",1)</f>
        <v>=DISPIMG("ID_6E0064E8BC354EE0A60FFC463478C5EA",1)</v>
      </c>
      <c r="E16" s="59"/>
      <c r="F16" s="62" t="s">
        <v>109</v>
      </c>
      <c r="G16" s="59" t="s">
        <v>103</v>
      </c>
      <c r="H16" s="63">
        <v>12</v>
      </c>
      <c r="I16" s="60">
        <f>H16*44</f>
        <v>528</v>
      </c>
      <c r="J16" s="60"/>
      <c r="K16" s="60"/>
      <c r="L16" s="59" t="s">
        <v>71</v>
      </c>
    </row>
    <row r="17" ht="72" spans="1:12">
      <c r="A17" s="61" t="s">
        <v>104</v>
      </c>
      <c r="B17" s="61" t="s">
        <v>151</v>
      </c>
      <c r="C17" s="61" t="s">
        <v>161</v>
      </c>
      <c r="D17" s="61" t="str">
        <f>_xlfn.DISPIMG("ID_8F8055C6505F4FF79F63CAD0E7A416BF",1)</f>
        <v>=DISPIMG("ID_8F8055C6505F4FF79F63CAD0E7A416BF",1)</v>
      </c>
      <c r="E17" s="59"/>
      <c r="F17" s="62" t="s">
        <v>109</v>
      </c>
      <c r="G17" s="59" t="s">
        <v>103</v>
      </c>
      <c r="H17" s="63">
        <v>2</v>
      </c>
      <c r="I17" s="60">
        <f>H17*44</f>
        <v>88</v>
      </c>
      <c r="J17" s="60"/>
      <c r="K17" s="60"/>
      <c r="L17" s="59" t="s">
        <v>71</v>
      </c>
    </row>
    <row r="18" s="49" customFormat="1" spans="1:12">
      <c r="A18" s="61" t="s">
        <v>110</v>
      </c>
      <c r="B18" s="61"/>
      <c r="C18" s="61"/>
      <c r="D18" s="61"/>
      <c r="E18" s="59"/>
      <c r="F18" s="59"/>
      <c r="G18" s="61"/>
      <c r="H18" s="63"/>
      <c r="I18" s="63"/>
      <c r="J18" s="63"/>
      <c r="K18" s="63"/>
      <c r="L18" s="61"/>
    </row>
  </sheetData>
  <autoFilter ref="A4:L18">
    <extLst/>
  </autoFilter>
  <mergeCells count="3">
    <mergeCell ref="A1:L1"/>
    <mergeCell ref="A2:L2"/>
    <mergeCell ref="J3:K3"/>
  </mergeCells>
  <pageMargins left="0.357638888888889" right="0.357638888888889" top="0.409027777777778" bottom="0.409027777777778" header="0.5" footer="0.5"/>
  <pageSetup paperSize="9" scale="9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view="pageBreakPreview" zoomScale="85" zoomScaleNormal="70" workbookViewId="0">
      <pane xSplit="1" ySplit="4" topLeftCell="B8" activePane="bottomRight" state="frozen"/>
      <selection/>
      <selection pane="topRight"/>
      <selection pane="bottomLeft"/>
      <selection pane="bottomRight" activeCell="F9" sqref="F9"/>
    </sheetView>
  </sheetViews>
  <sheetFormatPr defaultColWidth="12.8416666666667" defaultRowHeight="13.5"/>
  <cols>
    <col min="1" max="1" width="10.725" style="49" customWidth="1"/>
    <col min="2" max="2" width="9.4" style="49" customWidth="1"/>
    <col min="3" max="4" width="12.8416666666667" style="49" customWidth="1"/>
    <col min="5" max="5" width="12.8416666666667" style="42" customWidth="1"/>
    <col min="6" max="6" width="28.6166666666667" style="42" customWidth="1"/>
    <col min="7" max="7" width="8.00833333333333" style="49" customWidth="1"/>
    <col min="8" max="8" width="12.8416666666667" style="50" hidden="1" customWidth="1"/>
    <col min="9" max="9" width="8.69166666666667" style="50" customWidth="1"/>
    <col min="10" max="11" width="12.8416666666667" style="50" customWidth="1"/>
    <col min="12" max="16378" width="12.8416666666667" style="49" customWidth="1"/>
    <col min="16379" max="16384" width="12.8416666666667" style="49"/>
  </cols>
  <sheetData>
    <row r="1" s="42" customFormat="1" ht="22.5" spans="1:12">
      <c r="A1" s="3" t="str">
        <f>'办公室A（六人间）'!A1</f>
        <v>通航青年国际社区项目4至6号楼家具电器采购(客房)数量清单</v>
      </c>
      <c r="B1" s="3"/>
      <c r="C1" s="3"/>
      <c r="D1" s="3"/>
      <c r="E1" s="3"/>
      <c r="F1" s="3"/>
      <c r="G1" s="3"/>
      <c r="H1" s="5"/>
      <c r="I1" s="5"/>
      <c r="J1" s="5"/>
      <c r="K1" s="5"/>
      <c r="L1" s="3"/>
    </row>
    <row r="2" s="42" customFormat="1" ht="20.25" spans="1:12">
      <c r="A2" s="44" t="s">
        <v>162</v>
      </c>
      <c r="B2" s="44"/>
      <c r="C2" s="44"/>
      <c r="D2" s="44"/>
      <c r="E2" s="44"/>
      <c r="F2" s="44"/>
      <c r="G2" s="44"/>
      <c r="H2" s="45"/>
      <c r="I2" s="45"/>
      <c r="J2" s="45"/>
      <c r="K2" s="45"/>
      <c r="L2" s="44"/>
    </row>
    <row r="3" s="42" customFormat="1" spans="1:12">
      <c r="A3" s="14" t="s">
        <v>47</v>
      </c>
      <c r="B3" s="14" t="s">
        <v>48</v>
      </c>
      <c r="C3" s="14" t="s">
        <v>49</v>
      </c>
      <c r="D3" s="14" t="s">
        <v>50</v>
      </c>
      <c r="E3" s="14" t="s">
        <v>51</v>
      </c>
      <c r="F3" s="14" t="s">
        <v>52</v>
      </c>
      <c r="G3" s="14" t="s">
        <v>53</v>
      </c>
      <c r="H3" s="23" t="s">
        <v>54</v>
      </c>
      <c r="I3" s="23" t="s">
        <v>55</v>
      </c>
      <c r="J3" s="23" t="s">
        <v>21</v>
      </c>
      <c r="K3" s="23"/>
      <c r="L3" s="14" t="s">
        <v>23</v>
      </c>
    </row>
    <row r="4" s="42" customFormat="1" ht="24" spans="1:12">
      <c r="A4" s="14" t="s">
        <v>56</v>
      </c>
      <c r="B4" s="14" t="s">
        <v>57</v>
      </c>
      <c r="C4" s="14" t="s">
        <v>58</v>
      </c>
      <c r="D4" s="14" t="s">
        <v>59</v>
      </c>
      <c r="E4" s="14" t="s">
        <v>60</v>
      </c>
      <c r="F4" s="14"/>
      <c r="G4" s="14" t="s">
        <v>61</v>
      </c>
      <c r="H4" s="23" t="s">
        <v>62</v>
      </c>
      <c r="I4" s="23" t="s">
        <v>62</v>
      </c>
      <c r="J4" s="23" t="s">
        <v>63</v>
      </c>
      <c r="K4" s="23" t="s">
        <v>64</v>
      </c>
      <c r="L4" s="14" t="s">
        <v>65</v>
      </c>
    </row>
    <row r="5" ht="72" spans="1:12">
      <c r="A5" s="47" t="s">
        <v>66</v>
      </c>
      <c r="B5" s="47" t="s">
        <v>162</v>
      </c>
      <c r="C5" s="14" t="s">
        <v>163</v>
      </c>
      <c r="D5" s="47" t="str">
        <f>_xlfn.DISPIMG("ID_A06019BE9240419BA27ACCD495045EEC",1)</f>
        <v>=DISPIMG("ID_A06019BE9240419BA27ACCD495045EEC",1)</v>
      </c>
      <c r="E5" s="14" t="s">
        <v>164</v>
      </c>
      <c r="F5" s="20" t="s">
        <v>153</v>
      </c>
      <c r="G5" s="14" t="s">
        <v>85</v>
      </c>
      <c r="H5" s="48">
        <v>1</v>
      </c>
      <c r="I5" s="23">
        <f t="shared" ref="I5:I18" si="0">H5*26</f>
        <v>26</v>
      </c>
      <c r="J5" s="23"/>
      <c r="K5" s="23"/>
      <c r="L5" s="14" t="s">
        <v>71</v>
      </c>
    </row>
    <row r="6" ht="168" spans="1:12">
      <c r="A6" s="47" t="s">
        <v>72</v>
      </c>
      <c r="B6" s="47" t="s">
        <v>162</v>
      </c>
      <c r="C6" s="14" t="s">
        <v>165</v>
      </c>
      <c r="D6" s="47" t="str">
        <f>_xlfn.DISPIMG("ID_A7A7A698E99C43A3B55958884CE9C878",1)</f>
        <v>=DISPIMG("ID_A7A7A698E99C43A3B55958884CE9C878",1)</v>
      </c>
      <c r="E6" s="14" t="s">
        <v>166</v>
      </c>
      <c r="F6" s="20" t="s">
        <v>167</v>
      </c>
      <c r="G6" s="14" t="s">
        <v>168</v>
      </c>
      <c r="H6" s="48">
        <v>1</v>
      </c>
      <c r="I6" s="23">
        <f t="shared" si="0"/>
        <v>26</v>
      </c>
      <c r="J6" s="23"/>
      <c r="K6" s="23"/>
      <c r="L6" s="14" t="s">
        <v>71</v>
      </c>
    </row>
    <row r="7" ht="180" spans="1:12">
      <c r="A7" s="47" t="s">
        <v>76</v>
      </c>
      <c r="B7" s="47" t="s">
        <v>162</v>
      </c>
      <c r="C7" s="14" t="s">
        <v>127</v>
      </c>
      <c r="D7" s="47" t="str">
        <f>_xlfn.DISPIMG("ID_6C6AC699031741A2A4AD7FFE594808C1",1)</f>
        <v>=DISPIMG("ID_6C6AC699031741A2A4AD7FFE594808C1",1)</v>
      </c>
      <c r="E7" s="14" t="s">
        <v>169</v>
      </c>
      <c r="F7" s="20" t="s">
        <v>170</v>
      </c>
      <c r="G7" s="14" t="s">
        <v>85</v>
      </c>
      <c r="H7" s="48">
        <v>1</v>
      </c>
      <c r="I7" s="23">
        <f t="shared" si="0"/>
        <v>26</v>
      </c>
      <c r="J7" s="23"/>
      <c r="K7" s="23"/>
      <c r="L7" s="14" t="s">
        <v>71</v>
      </c>
    </row>
    <row r="8" ht="144" spans="1:12">
      <c r="A8" s="47" t="s">
        <v>81</v>
      </c>
      <c r="B8" s="47" t="s">
        <v>162</v>
      </c>
      <c r="C8" s="14" t="s">
        <v>154</v>
      </c>
      <c r="D8" s="47" t="str">
        <f>_xlfn.DISPIMG("ID_DB6D6280461F4A86808C8E41067062A1",1)</f>
        <v>=DISPIMG("ID_DB6D6280461F4A86808C8E41067062A1",1)</v>
      </c>
      <c r="E8" s="14" t="s">
        <v>155</v>
      </c>
      <c r="F8" s="20" t="s">
        <v>75</v>
      </c>
      <c r="G8" s="47" t="s">
        <v>85</v>
      </c>
      <c r="H8" s="48">
        <v>1</v>
      </c>
      <c r="I8" s="23">
        <f t="shared" si="0"/>
        <v>26</v>
      </c>
      <c r="J8" s="23"/>
      <c r="K8" s="23"/>
      <c r="L8" s="14" t="s">
        <v>71</v>
      </c>
    </row>
    <row r="9" ht="120" spans="1:12">
      <c r="A9" s="47" t="s">
        <v>86</v>
      </c>
      <c r="B9" s="47" t="s">
        <v>162</v>
      </c>
      <c r="C9" s="14" t="s">
        <v>156</v>
      </c>
      <c r="D9" s="47" t="str">
        <f>_xlfn.DISPIMG("ID_10727542A8954C0B8DBB08AC37D82B0A",1)</f>
        <v>=DISPIMG("ID_10727542A8954C0B8DBB08AC37D82B0A",1)</v>
      </c>
      <c r="E9" s="14" t="s">
        <v>78</v>
      </c>
      <c r="F9" s="20" t="s">
        <v>79</v>
      </c>
      <c r="G9" s="47" t="s">
        <v>80</v>
      </c>
      <c r="H9" s="48">
        <v>2</v>
      </c>
      <c r="I9" s="23">
        <f t="shared" si="0"/>
        <v>52</v>
      </c>
      <c r="J9" s="23"/>
      <c r="K9" s="23"/>
      <c r="L9" s="14" t="s">
        <v>71</v>
      </c>
    </row>
    <row r="10" ht="72" spans="1:12">
      <c r="A10" s="47" t="s">
        <v>91</v>
      </c>
      <c r="B10" s="47" t="s">
        <v>162</v>
      </c>
      <c r="C10" s="14" t="s">
        <v>112</v>
      </c>
      <c r="D10" s="51" t="str">
        <f>_xlfn.DISPIMG("ID_08152DDFCFB2474EA8A0440B46E04466",1)</f>
        <v>=DISPIMG("ID_08152DDFCFB2474EA8A0440B46E04466",1)</v>
      </c>
      <c r="E10" s="14" t="s">
        <v>171</v>
      </c>
      <c r="F10" s="20" t="s">
        <v>114</v>
      </c>
      <c r="G10" s="14" t="s">
        <v>85</v>
      </c>
      <c r="H10" s="48">
        <v>1</v>
      </c>
      <c r="I10" s="23">
        <f t="shared" si="0"/>
        <v>26</v>
      </c>
      <c r="J10" s="23"/>
      <c r="K10" s="23"/>
      <c r="L10" s="14" t="s">
        <v>71</v>
      </c>
    </row>
    <row r="11" ht="120" spans="1:12">
      <c r="A11" s="47" t="s">
        <v>95</v>
      </c>
      <c r="B11" s="47" t="s">
        <v>162</v>
      </c>
      <c r="C11" s="14" t="s">
        <v>121</v>
      </c>
      <c r="D11" s="47" t="str">
        <f>_xlfn.DISPIMG("ID_B27805450C7A449EA1623EDCB0220C62",1)</f>
        <v>=DISPIMG("ID_B27805450C7A449EA1623EDCB0220C62",1)</v>
      </c>
      <c r="E11" s="14" t="s">
        <v>122</v>
      </c>
      <c r="F11" s="20" t="s">
        <v>123</v>
      </c>
      <c r="G11" s="47" t="s">
        <v>70</v>
      </c>
      <c r="H11" s="48">
        <v>1</v>
      </c>
      <c r="I11" s="23">
        <f t="shared" si="0"/>
        <v>26</v>
      </c>
      <c r="J11" s="23"/>
      <c r="K11" s="23"/>
      <c r="L11" s="14" t="s">
        <v>71</v>
      </c>
    </row>
    <row r="12" ht="72" spans="1:12">
      <c r="A12" s="47" t="s">
        <v>133</v>
      </c>
      <c r="B12" s="47" t="s">
        <v>162</v>
      </c>
      <c r="C12" s="14" t="s">
        <v>124</v>
      </c>
      <c r="D12" s="47" t="str">
        <f>_xlfn.DISPIMG("ID_3BAE0E677F474E5C98CEFB5D36A7E223",1)</f>
        <v>=DISPIMG("ID_3BAE0E677F474E5C98CEFB5D36A7E223",1)</v>
      </c>
      <c r="E12" s="14" t="s">
        <v>149</v>
      </c>
      <c r="F12" s="20" t="s">
        <v>126</v>
      </c>
      <c r="G12" s="47" t="s">
        <v>85</v>
      </c>
      <c r="H12" s="48">
        <v>1</v>
      </c>
      <c r="I12" s="23">
        <f t="shared" si="0"/>
        <v>26</v>
      </c>
      <c r="J12" s="23"/>
      <c r="K12" s="23"/>
      <c r="L12" s="14" t="s">
        <v>71</v>
      </c>
    </row>
    <row r="13" ht="72" spans="1:12">
      <c r="A13" s="47" t="s">
        <v>136</v>
      </c>
      <c r="B13" s="47" t="s">
        <v>162</v>
      </c>
      <c r="C13" s="14" t="s">
        <v>112</v>
      </c>
      <c r="D13" s="47" t="str">
        <f>_xlfn.DISPIMG("ID_B545D29BEF3247D09BED7FE04C439D25",1)</f>
        <v>=DISPIMG("ID_B545D29BEF3247D09BED7FE04C439D25",1)</v>
      </c>
      <c r="E13" s="14" t="s">
        <v>152</v>
      </c>
      <c r="F13" s="20" t="s">
        <v>153</v>
      </c>
      <c r="G13" s="14" t="s">
        <v>85</v>
      </c>
      <c r="H13" s="48">
        <v>1</v>
      </c>
      <c r="I13" s="23">
        <f t="shared" si="0"/>
        <v>26</v>
      </c>
      <c r="J13" s="23"/>
      <c r="K13" s="23"/>
      <c r="L13" s="14" t="s">
        <v>71</v>
      </c>
    </row>
    <row r="14" ht="108" spans="1:12">
      <c r="A14" s="47" t="s">
        <v>137</v>
      </c>
      <c r="B14" s="47" t="s">
        <v>162</v>
      </c>
      <c r="C14" s="47" t="s">
        <v>96</v>
      </c>
      <c r="D14" s="47" t="str">
        <f>_xlfn.DISPIMG("ID_2F4E648BBB4B4D958BCF1F9B60876B1A",1)</f>
        <v>=DISPIMG("ID_2F4E648BBB4B4D958BCF1F9B60876B1A",1)</v>
      </c>
      <c r="E14" s="14" t="s">
        <v>134</v>
      </c>
      <c r="F14" s="20" t="s">
        <v>135</v>
      </c>
      <c r="G14" s="47" t="s">
        <v>85</v>
      </c>
      <c r="H14" s="48">
        <v>1</v>
      </c>
      <c r="I14" s="23">
        <f t="shared" si="0"/>
        <v>26</v>
      </c>
      <c r="J14" s="23"/>
      <c r="K14" s="23"/>
      <c r="L14" s="14" t="s">
        <v>71</v>
      </c>
    </row>
    <row r="15" ht="48" spans="1:12">
      <c r="A15" s="47" t="s">
        <v>172</v>
      </c>
      <c r="B15" s="47" t="s">
        <v>162</v>
      </c>
      <c r="C15" s="14" t="s">
        <v>87</v>
      </c>
      <c r="D15" s="47" t="str">
        <f>_xlfn.DISPIMG("ID_1E8CB9FD4447426B86D4BEABB2A12F01",1)</f>
        <v>=DISPIMG("ID_1E8CB9FD4447426B86D4BEABB2A12F01",1)</v>
      </c>
      <c r="E15" s="14" t="s">
        <v>88</v>
      </c>
      <c r="F15" s="20" t="s">
        <v>89</v>
      </c>
      <c r="G15" s="47" t="s">
        <v>90</v>
      </c>
      <c r="H15" s="48">
        <v>2</v>
      </c>
      <c r="I15" s="23">
        <f t="shared" si="0"/>
        <v>52</v>
      </c>
      <c r="J15" s="23"/>
      <c r="K15" s="23"/>
      <c r="L15" s="14"/>
    </row>
    <row r="16" ht="48" spans="1:12">
      <c r="A16" s="47" t="s">
        <v>140</v>
      </c>
      <c r="B16" s="47" t="s">
        <v>162</v>
      </c>
      <c r="C16" s="14" t="s">
        <v>92</v>
      </c>
      <c r="D16" s="47" t="str">
        <f>_xlfn.DISPIMG("ID_B4C53E8FE52B4AC08CE714D3FA4E8F37",1)</f>
        <v>=DISPIMG("ID_B4C53E8FE52B4AC08CE714D3FA4E8F37",1)</v>
      </c>
      <c r="E16" s="14" t="s">
        <v>138</v>
      </c>
      <c r="F16" s="20" t="s">
        <v>139</v>
      </c>
      <c r="G16" s="47" t="s">
        <v>90</v>
      </c>
      <c r="H16" s="48">
        <v>1</v>
      </c>
      <c r="I16" s="23">
        <f t="shared" si="0"/>
        <v>26</v>
      </c>
      <c r="J16" s="23"/>
      <c r="K16" s="23"/>
      <c r="L16" s="14" t="s">
        <v>173</v>
      </c>
    </row>
    <row r="17" ht="72" spans="1:12">
      <c r="A17" s="47" t="s">
        <v>174</v>
      </c>
      <c r="B17" s="47" t="s">
        <v>162</v>
      </c>
      <c r="C17" s="47" t="s">
        <v>141</v>
      </c>
      <c r="D17" s="47" t="str">
        <f>_xlfn.DISPIMG("ID_359CD945509F4C028677C054A9880EA0",1)</f>
        <v>=DISPIMG("ID_359CD945509F4C028677C054A9880EA0",1)</v>
      </c>
      <c r="E17" s="14" t="s">
        <v>142</v>
      </c>
      <c r="F17" s="20" t="s">
        <v>143</v>
      </c>
      <c r="G17" s="47" t="s">
        <v>85</v>
      </c>
      <c r="H17" s="48">
        <v>1</v>
      </c>
      <c r="I17" s="23">
        <f t="shared" si="0"/>
        <v>26</v>
      </c>
      <c r="J17" s="23"/>
      <c r="K17" s="23"/>
      <c r="L17" s="14" t="s">
        <v>71</v>
      </c>
    </row>
    <row r="18" spans="1:12">
      <c r="A18" s="47" t="s">
        <v>99</v>
      </c>
      <c r="B18" s="47"/>
      <c r="C18" s="47"/>
      <c r="D18" s="47"/>
      <c r="E18" s="14"/>
      <c r="F18" s="52"/>
      <c r="G18" s="47"/>
      <c r="H18" s="48"/>
      <c r="I18" s="48"/>
      <c r="J18" s="23"/>
      <c r="K18" s="48"/>
      <c r="L18" s="47"/>
    </row>
    <row r="19" ht="72" spans="1:12">
      <c r="A19" s="47" t="s">
        <v>100</v>
      </c>
      <c r="B19" s="47" t="s">
        <v>162</v>
      </c>
      <c r="C19" s="47" t="s">
        <v>101</v>
      </c>
      <c r="D19" s="47" t="str">
        <f>_xlfn.DISPIMG("ID_C5F8A79E948F448A8F2AFEFEFAE5CF86",1)</f>
        <v>=DISPIMG("ID_C5F8A79E948F448A8F2AFEFEFAE5CF86",1)</v>
      </c>
      <c r="E19" s="14"/>
      <c r="F19" s="20" t="s">
        <v>175</v>
      </c>
      <c r="G19" s="14" t="s">
        <v>103</v>
      </c>
      <c r="H19" s="48">
        <v>12</v>
      </c>
      <c r="I19" s="23">
        <f>H19*26</f>
        <v>312</v>
      </c>
      <c r="J19" s="23"/>
      <c r="K19" s="23"/>
      <c r="L19" s="14" t="s">
        <v>71</v>
      </c>
    </row>
    <row r="20" ht="72" spans="1:12">
      <c r="A20" s="53" t="s">
        <v>104</v>
      </c>
      <c r="B20" s="53" t="s">
        <v>162</v>
      </c>
      <c r="C20" s="53" t="s">
        <v>105</v>
      </c>
      <c r="D20" s="53" t="str">
        <f>_xlfn.DISPIMG("ID_9D2A8B44DF2144C79E2E2A91AB79983C",1)</f>
        <v>=DISPIMG("ID_9D2A8B44DF2144C79E2E2A91AB79983C",1)</v>
      </c>
      <c r="E20" s="54"/>
      <c r="F20" s="20" t="s">
        <v>106</v>
      </c>
      <c r="G20" s="55" t="s">
        <v>103</v>
      </c>
      <c r="H20" s="53">
        <v>12</v>
      </c>
      <c r="I20" s="54">
        <f>H20*26</f>
        <v>312</v>
      </c>
      <c r="J20" s="23"/>
      <c r="K20" s="23"/>
      <c r="L20" s="14" t="s">
        <v>71</v>
      </c>
    </row>
    <row r="21" ht="72" spans="1:12">
      <c r="A21" s="53" t="s">
        <v>104</v>
      </c>
      <c r="B21" s="53" t="s">
        <v>162</v>
      </c>
      <c r="C21" s="53" t="s">
        <v>176</v>
      </c>
      <c r="D21" s="53" t="str">
        <f>_xlfn.DISPIMG("ID_307A655EC1F245B3A86D87A82A4A2BDD",1)</f>
        <v>=DISPIMG("ID_307A655EC1F245B3A86D87A82A4A2BDD",1)</v>
      </c>
      <c r="E21" s="54"/>
      <c r="F21" s="20" t="s">
        <v>109</v>
      </c>
      <c r="G21" s="55" t="s">
        <v>103</v>
      </c>
      <c r="H21" s="53">
        <v>2.5</v>
      </c>
      <c r="I21" s="54">
        <f>H21*26</f>
        <v>65</v>
      </c>
      <c r="J21" s="23"/>
      <c r="K21" s="23"/>
      <c r="L21" s="14" t="s">
        <v>71</v>
      </c>
    </row>
    <row r="22" spans="1:12">
      <c r="A22" s="56" t="s">
        <v>110</v>
      </c>
      <c r="B22" s="56"/>
      <c r="C22" s="56"/>
      <c r="D22" s="56"/>
      <c r="E22" s="57"/>
      <c r="F22" s="57"/>
      <c r="G22" s="56"/>
      <c r="H22" s="58"/>
      <c r="I22" s="58"/>
      <c r="J22" s="58"/>
      <c r="K22" s="58"/>
      <c r="L22" s="56"/>
    </row>
  </sheetData>
  <autoFilter ref="A4:L22">
    <extLst/>
  </autoFilter>
  <mergeCells count="3">
    <mergeCell ref="A1:L1"/>
    <mergeCell ref="A2:L2"/>
    <mergeCell ref="J3:K3"/>
  </mergeCells>
  <pageMargins left="0.357638888888889" right="0.357638888888889" top="0.409027777777778" bottom="0.409027777777778" header="0.5" footer="0.5"/>
  <pageSetup paperSize="9" scale="98"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view="pageBreakPreview" zoomScaleNormal="70" workbookViewId="0">
      <pane xSplit="1" ySplit="4" topLeftCell="B6" activePane="bottomRight" state="frozen"/>
      <selection/>
      <selection pane="topRight"/>
      <selection pane="bottomLeft"/>
      <selection pane="bottomRight" activeCell="F9" sqref="F9"/>
    </sheetView>
  </sheetViews>
  <sheetFormatPr defaultColWidth="12.8416666666667" defaultRowHeight="13.5"/>
  <cols>
    <col min="1" max="1" width="10.4916666666667" style="42" customWidth="1"/>
    <col min="2" max="2" width="10.675" style="42" customWidth="1"/>
    <col min="3" max="5" width="12.8416666666667" style="42" customWidth="1"/>
    <col min="6" max="6" width="27.075" style="42" customWidth="1"/>
    <col min="7" max="7" width="8.425" style="42" customWidth="1"/>
    <col min="8" max="8" width="12.8416666666667" style="43" hidden="1" customWidth="1"/>
    <col min="9" max="9" width="9.65833333333333" style="43" customWidth="1"/>
    <col min="10" max="11" width="12.8416666666667" style="43" customWidth="1"/>
    <col min="12" max="16378" width="12.8416666666667" style="42" customWidth="1"/>
    <col min="16379" max="16384" width="12.8416666666667" style="42"/>
  </cols>
  <sheetData>
    <row r="1" ht="22.5" spans="1:12">
      <c r="A1" s="3" t="str">
        <f>'办公室A（六人间）'!A1</f>
        <v>通航青年国际社区项目4至6号楼家具电器采购(客房)数量清单</v>
      </c>
      <c r="B1" s="3"/>
      <c r="C1" s="3"/>
      <c r="D1" s="3"/>
      <c r="E1" s="3"/>
      <c r="F1" s="3"/>
      <c r="G1" s="3"/>
      <c r="H1" s="5"/>
      <c r="I1" s="5"/>
      <c r="J1" s="5"/>
      <c r="K1" s="5"/>
      <c r="L1" s="3"/>
    </row>
    <row r="2" ht="20.25" spans="1:12">
      <c r="A2" s="44" t="s">
        <v>177</v>
      </c>
      <c r="B2" s="44"/>
      <c r="C2" s="44"/>
      <c r="D2" s="44"/>
      <c r="E2" s="44"/>
      <c r="F2" s="44"/>
      <c r="G2" s="44"/>
      <c r="H2" s="45"/>
      <c r="I2" s="45"/>
      <c r="J2" s="45"/>
      <c r="K2" s="45"/>
      <c r="L2" s="44"/>
    </row>
    <row r="3" spans="1:12">
      <c r="A3" s="14" t="s">
        <v>47</v>
      </c>
      <c r="B3" s="14" t="s">
        <v>48</v>
      </c>
      <c r="C3" s="14" t="s">
        <v>49</v>
      </c>
      <c r="D3" s="14" t="s">
        <v>50</v>
      </c>
      <c r="E3" s="14" t="s">
        <v>51</v>
      </c>
      <c r="F3" s="14" t="s">
        <v>52</v>
      </c>
      <c r="G3" s="14" t="s">
        <v>53</v>
      </c>
      <c r="H3" s="23" t="s">
        <v>54</v>
      </c>
      <c r="I3" s="23" t="s">
        <v>55</v>
      </c>
      <c r="J3" s="23" t="s">
        <v>21</v>
      </c>
      <c r="K3" s="23"/>
      <c r="L3" s="14" t="s">
        <v>23</v>
      </c>
    </row>
    <row r="4" ht="24" spans="1:12">
      <c r="A4" s="14" t="s">
        <v>56</v>
      </c>
      <c r="B4" s="14" t="s">
        <v>57</v>
      </c>
      <c r="C4" s="14" t="s">
        <v>58</v>
      </c>
      <c r="D4" s="14" t="s">
        <v>59</v>
      </c>
      <c r="E4" s="14" t="s">
        <v>60</v>
      </c>
      <c r="F4" s="14"/>
      <c r="G4" s="14" t="s">
        <v>61</v>
      </c>
      <c r="H4" s="23" t="s">
        <v>62</v>
      </c>
      <c r="I4" s="23" t="s">
        <v>62</v>
      </c>
      <c r="J4" s="23" t="s">
        <v>63</v>
      </c>
      <c r="K4" s="23" t="s">
        <v>64</v>
      </c>
      <c r="L4" s="14" t="s">
        <v>65</v>
      </c>
    </row>
    <row r="5" ht="72" spans="1:12">
      <c r="A5" s="14" t="s">
        <v>66</v>
      </c>
      <c r="B5" s="14" t="s">
        <v>177</v>
      </c>
      <c r="C5" s="14" t="s">
        <v>163</v>
      </c>
      <c r="D5" s="14" t="str">
        <f>_xlfn.DISPIMG("ID_4CF2B9BB80D44103A4731E0077196B18",1)</f>
        <v>=DISPIMG("ID_4CF2B9BB80D44103A4731E0077196B18",1)</v>
      </c>
      <c r="E5" s="14" t="s">
        <v>178</v>
      </c>
      <c r="F5" s="20" t="s">
        <v>153</v>
      </c>
      <c r="G5" s="14" t="s">
        <v>85</v>
      </c>
      <c r="H5" s="23">
        <v>1</v>
      </c>
      <c r="I5" s="23">
        <f t="shared" ref="I5:I15" si="0">H5*14</f>
        <v>14</v>
      </c>
      <c r="J5" s="23"/>
      <c r="K5" s="23"/>
      <c r="L5" s="14" t="s">
        <v>71</v>
      </c>
    </row>
    <row r="6" ht="156" spans="1:12">
      <c r="A6" s="14" t="s">
        <v>81</v>
      </c>
      <c r="B6" s="14" t="s">
        <v>177</v>
      </c>
      <c r="C6" s="14" t="s">
        <v>154</v>
      </c>
      <c r="D6" s="14" t="str">
        <f>_xlfn.DISPIMG("ID_BF1D493438AC42B19CC47E1982947A87",1)</f>
        <v>=DISPIMG("ID_BF1D493438AC42B19CC47E1982947A87",1)</v>
      </c>
      <c r="E6" s="14" t="s">
        <v>155</v>
      </c>
      <c r="F6" s="20" t="s">
        <v>75</v>
      </c>
      <c r="G6" s="14" t="s">
        <v>85</v>
      </c>
      <c r="H6" s="23">
        <v>2</v>
      </c>
      <c r="I6" s="23">
        <f t="shared" si="0"/>
        <v>28</v>
      </c>
      <c r="J6" s="23"/>
      <c r="K6" s="23"/>
      <c r="L6" s="14" t="s">
        <v>71</v>
      </c>
    </row>
    <row r="7" ht="120" spans="1:12">
      <c r="A7" s="14" t="s">
        <v>86</v>
      </c>
      <c r="B7" s="14" t="s">
        <v>177</v>
      </c>
      <c r="C7" s="14" t="s">
        <v>156</v>
      </c>
      <c r="D7" s="14" t="str">
        <f>_xlfn.DISPIMG("ID_0F022513DB9940DE98107F41C556C966",1)</f>
        <v>=DISPIMG("ID_0F022513DB9940DE98107F41C556C966",1)</v>
      </c>
      <c r="E7" s="14" t="s">
        <v>78</v>
      </c>
      <c r="F7" s="20" t="s">
        <v>79</v>
      </c>
      <c r="G7" s="14" t="s">
        <v>80</v>
      </c>
      <c r="H7" s="23">
        <v>4</v>
      </c>
      <c r="I7" s="23">
        <f t="shared" si="0"/>
        <v>56</v>
      </c>
      <c r="J7" s="23"/>
      <c r="K7" s="23"/>
      <c r="L7" s="14" t="s">
        <v>71</v>
      </c>
    </row>
    <row r="8" ht="72" spans="1:12">
      <c r="A8" s="14" t="s">
        <v>91</v>
      </c>
      <c r="B8" s="14" t="s">
        <v>177</v>
      </c>
      <c r="C8" s="14" t="s">
        <v>112</v>
      </c>
      <c r="D8" s="14" t="str">
        <f>_xlfn.DISPIMG("ID_254E41BB4BB147A48E76C5933962438E",1)</f>
        <v>=DISPIMG("ID_254E41BB4BB147A48E76C5933962438E",1)</v>
      </c>
      <c r="E8" s="14" t="s">
        <v>179</v>
      </c>
      <c r="F8" s="20" t="s">
        <v>114</v>
      </c>
      <c r="G8" s="14" t="s">
        <v>85</v>
      </c>
      <c r="H8" s="23">
        <v>1</v>
      </c>
      <c r="I8" s="23">
        <f t="shared" si="0"/>
        <v>14</v>
      </c>
      <c r="J8" s="23"/>
      <c r="K8" s="23"/>
      <c r="L8" s="14" t="s">
        <v>71</v>
      </c>
    </row>
    <row r="9" ht="120" spans="1:12">
      <c r="A9" s="14" t="s">
        <v>95</v>
      </c>
      <c r="B9" s="14" t="s">
        <v>177</v>
      </c>
      <c r="C9" s="14" t="s">
        <v>121</v>
      </c>
      <c r="D9" s="14" t="str">
        <f>_xlfn.DISPIMG("ID_980268FD1B6647048BFCB34EDB5CA95F",1)</f>
        <v>=DISPIMG("ID_980268FD1B6647048BFCB34EDB5CA95F",1)</v>
      </c>
      <c r="E9" s="46" t="s">
        <v>148</v>
      </c>
      <c r="F9" s="20" t="s">
        <v>123</v>
      </c>
      <c r="G9" s="14" t="s">
        <v>70</v>
      </c>
      <c r="H9" s="23">
        <v>4</v>
      </c>
      <c r="I9" s="23">
        <f t="shared" si="0"/>
        <v>56</v>
      </c>
      <c r="J9" s="23"/>
      <c r="K9" s="23"/>
      <c r="L9" s="14" t="s">
        <v>71</v>
      </c>
    </row>
    <row r="10" ht="72" spans="1:12">
      <c r="A10" s="14" t="s">
        <v>133</v>
      </c>
      <c r="B10" s="14" t="s">
        <v>177</v>
      </c>
      <c r="C10" s="14" t="s">
        <v>124</v>
      </c>
      <c r="D10" s="14" t="str">
        <f>_xlfn.DISPIMG("ID_9CD525F4D6A34C1F8F957D115DF178C2",1)</f>
        <v>=DISPIMG("ID_9CD525F4D6A34C1F8F957D115DF178C2",1)</v>
      </c>
      <c r="E10" s="14" t="s">
        <v>149</v>
      </c>
      <c r="F10" s="20" t="s">
        <v>126</v>
      </c>
      <c r="G10" s="14" t="s">
        <v>85</v>
      </c>
      <c r="H10" s="23">
        <v>2</v>
      </c>
      <c r="I10" s="23">
        <f t="shared" si="0"/>
        <v>28</v>
      </c>
      <c r="J10" s="23"/>
      <c r="K10" s="23"/>
      <c r="L10" s="14" t="s">
        <v>71</v>
      </c>
    </row>
    <row r="11" ht="48" spans="1:12">
      <c r="A11" s="14" t="s">
        <v>136</v>
      </c>
      <c r="B11" s="14" t="s">
        <v>177</v>
      </c>
      <c r="C11" s="14" t="s">
        <v>87</v>
      </c>
      <c r="D11" s="14" t="str">
        <f>_xlfn.DISPIMG("ID_9342C9468B374F9CAD1BB7E5CD463B6E",1)</f>
        <v>=DISPIMG("ID_9342C9468B374F9CAD1BB7E5CD463B6E",1)</v>
      </c>
      <c r="E11" s="14" t="s">
        <v>88</v>
      </c>
      <c r="F11" s="20" t="s">
        <v>89</v>
      </c>
      <c r="G11" s="47" t="s">
        <v>90</v>
      </c>
      <c r="H11" s="23">
        <v>2</v>
      </c>
      <c r="I11" s="23">
        <f t="shared" si="0"/>
        <v>28</v>
      </c>
      <c r="J11" s="23"/>
      <c r="K11" s="23"/>
      <c r="L11" s="14"/>
    </row>
    <row r="12" ht="48" spans="1:12">
      <c r="A12" s="14" t="s">
        <v>137</v>
      </c>
      <c r="B12" s="14" t="s">
        <v>177</v>
      </c>
      <c r="C12" s="14" t="s">
        <v>92</v>
      </c>
      <c r="D12" s="14" t="str">
        <f>_xlfn.DISPIMG("ID_A4584BD000564DDD8ED9C0A8407558C4",1)</f>
        <v>=DISPIMG("ID_A4584BD000564DDD8ED9C0A8407558C4",1)</v>
      </c>
      <c r="E12" s="14" t="s">
        <v>138</v>
      </c>
      <c r="F12" s="20" t="s">
        <v>139</v>
      </c>
      <c r="G12" s="47" t="s">
        <v>90</v>
      </c>
      <c r="H12" s="23">
        <v>1</v>
      </c>
      <c r="I12" s="23">
        <f t="shared" si="0"/>
        <v>14</v>
      </c>
      <c r="J12" s="23"/>
      <c r="K12" s="23"/>
      <c r="L12" s="14"/>
    </row>
    <row r="13" ht="108" spans="1:12">
      <c r="A13" s="14" t="s">
        <v>172</v>
      </c>
      <c r="B13" s="14" t="s">
        <v>177</v>
      </c>
      <c r="C13" s="14" t="s">
        <v>96</v>
      </c>
      <c r="D13" s="14" t="str">
        <f>_xlfn.DISPIMG("ID_B4736858877B4579BD22A41F8AFAF087",1)</f>
        <v>=DISPIMG("ID_B4736858877B4579BD22A41F8AFAF087",1)</v>
      </c>
      <c r="E13" s="46" t="s">
        <v>150</v>
      </c>
      <c r="F13" s="20" t="s">
        <v>135</v>
      </c>
      <c r="G13" s="14" t="s">
        <v>85</v>
      </c>
      <c r="H13" s="23">
        <v>4</v>
      </c>
      <c r="I13" s="23">
        <f t="shared" si="0"/>
        <v>56</v>
      </c>
      <c r="J13" s="23"/>
      <c r="K13" s="23"/>
      <c r="L13" s="14" t="s">
        <v>71</v>
      </c>
    </row>
    <row r="14" ht="72" spans="1:12">
      <c r="A14" s="14" t="s">
        <v>180</v>
      </c>
      <c r="B14" s="14" t="s">
        <v>177</v>
      </c>
      <c r="C14" s="14" t="s">
        <v>141</v>
      </c>
      <c r="D14" s="14" t="str">
        <f>_xlfn.DISPIMG("ID_1A296708BA0C4453895524005DA9DF7E",1)</f>
        <v>=DISPIMG("ID_1A296708BA0C4453895524005DA9DF7E",1)</v>
      </c>
      <c r="E14" s="14" t="s">
        <v>142</v>
      </c>
      <c r="F14" s="20" t="s">
        <v>143</v>
      </c>
      <c r="G14" s="14" t="s">
        <v>85</v>
      </c>
      <c r="H14" s="23">
        <v>1</v>
      </c>
      <c r="I14" s="23">
        <f t="shared" si="0"/>
        <v>14</v>
      </c>
      <c r="J14" s="23"/>
      <c r="K14" s="23"/>
      <c r="L14" s="14" t="s">
        <v>71</v>
      </c>
    </row>
    <row r="15" spans="1:12">
      <c r="A15" s="14" t="s">
        <v>99</v>
      </c>
      <c r="B15" s="14"/>
      <c r="C15" s="14"/>
      <c r="D15" s="14"/>
      <c r="E15" s="14"/>
      <c r="F15" s="20"/>
      <c r="G15" s="14"/>
      <c r="H15" s="23"/>
      <c r="I15" s="23"/>
      <c r="J15" s="23"/>
      <c r="K15" s="23"/>
      <c r="L15" s="14"/>
    </row>
    <row r="16" ht="72" spans="1:12">
      <c r="A16" s="14" t="s">
        <v>100</v>
      </c>
      <c r="B16" s="14" t="s">
        <v>177</v>
      </c>
      <c r="C16" s="14" t="s">
        <v>101</v>
      </c>
      <c r="D16" s="14" t="str">
        <f>_xlfn.DISPIMG("ID_3FDAF28185BF4F77915CC06FA3DF9DF5",1)</f>
        <v>=DISPIMG("ID_3FDAF28185BF4F77915CC06FA3DF9DF5",1)</v>
      </c>
      <c r="E16" s="14"/>
      <c r="F16" s="20" t="s">
        <v>175</v>
      </c>
      <c r="G16" s="14" t="s">
        <v>103</v>
      </c>
      <c r="H16" s="23">
        <v>12</v>
      </c>
      <c r="I16" s="23">
        <f>H16*14</f>
        <v>168</v>
      </c>
      <c r="J16" s="23"/>
      <c r="K16" s="23"/>
      <c r="L16" s="14" t="s">
        <v>71</v>
      </c>
    </row>
    <row r="17" ht="72" spans="1:12">
      <c r="A17" s="14" t="s">
        <v>104</v>
      </c>
      <c r="B17" s="14" t="s">
        <v>177</v>
      </c>
      <c r="C17" s="14" t="s">
        <v>105</v>
      </c>
      <c r="D17" s="14" t="str">
        <f>_xlfn.DISPIMG("ID_AC50B7B3697344D3A2B69CD2CFC742B9",1)</f>
        <v>=DISPIMG("ID_AC50B7B3697344D3A2B69CD2CFC742B9",1)</v>
      </c>
      <c r="E17" s="14"/>
      <c r="F17" s="20" t="s">
        <v>106</v>
      </c>
      <c r="G17" s="14" t="s">
        <v>103</v>
      </c>
      <c r="H17" s="23">
        <v>12</v>
      </c>
      <c r="I17" s="23">
        <f>H17*14</f>
        <v>168</v>
      </c>
      <c r="J17" s="23"/>
      <c r="K17" s="23"/>
      <c r="L17" s="14" t="s">
        <v>71</v>
      </c>
    </row>
    <row r="18" ht="72" spans="1:12">
      <c r="A18" s="14" t="s">
        <v>107</v>
      </c>
      <c r="B18" s="14" t="s">
        <v>177</v>
      </c>
      <c r="C18" s="14" t="s">
        <v>181</v>
      </c>
      <c r="D18" s="14" t="str">
        <f>_xlfn.DISPIMG("ID_09A5921E4E494527850396F51CA4AFBB",1)</f>
        <v>=DISPIMG("ID_09A5921E4E494527850396F51CA4AFBB",1)</v>
      </c>
      <c r="E18" s="14"/>
      <c r="F18" s="20" t="s">
        <v>109</v>
      </c>
      <c r="G18" s="14" t="s">
        <v>103</v>
      </c>
      <c r="H18" s="23">
        <v>1.5</v>
      </c>
      <c r="I18" s="23">
        <f>H18*14</f>
        <v>21</v>
      </c>
      <c r="J18" s="23"/>
      <c r="K18" s="23"/>
      <c r="L18" s="14" t="s">
        <v>71</v>
      </c>
    </row>
    <row r="19" spans="1:12">
      <c r="A19" s="14" t="s">
        <v>110</v>
      </c>
      <c r="B19" s="14"/>
      <c r="C19" s="14"/>
      <c r="D19" s="14"/>
      <c r="E19" s="14"/>
      <c r="F19" s="14"/>
      <c r="G19" s="14"/>
      <c r="H19" s="23"/>
      <c r="I19" s="23"/>
      <c r="J19" s="23"/>
      <c r="K19" s="48"/>
      <c r="L19" s="14"/>
    </row>
  </sheetData>
  <autoFilter ref="A4:P19">
    <extLst/>
  </autoFilter>
  <mergeCells count="3">
    <mergeCell ref="A1:L1"/>
    <mergeCell ref="A2:L2"/>
    <mergeCell ref="J3:K3"/>
  </mergeCells>
  <pageMargins left="0.393055555555556" right="0.448611111111111" top="0.357638888888889" bottom="0.357638888888889" header="0.298611111111111" footer="0.298611111111111"/>
  <pageSetup paperSize="9" scale="9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清单编制说明</vt:lpstr>
      <vt:lpstr>控制价汇总表</vt:lpstr>
      <vt:lpstr>客房汇总表</vt:lpstr>
      <vt:lpstr>办公室A（六人间）</vt:lpstr>
      <vt:lpstr>办公室B（大床房）</vt:lpstr>
      <vt:lpstr>办公室B 1(双床房）</vt:lpstr>
      <vt:lpstr>办公室C（大单间）</vt:lpstr>
      <vt:lpstr>办公室D（行政套房）</vt:lpstr>
      <vt:lpstr>办公室E（四人间套间）</vt:lpstr>
      <vt:lpstr>汇总表（工区）</vt:lpstr>
      <vt:lpstr>4#大堂</vt:lpstr>
      <vt:lpstr>5#大堂</vt:lpstr>
      <vt:lpstr>5#共享空间</vt:lpstr>
      <vt:lpstr>6#大堂</vt:lpstr>
      <vt:lpstr>后勤办公室</vt:lpstr>
      <vt:lpstr>值班室</vt:lpstr>
      <vt:lpstr>储存间</vt:lpstr>
      <vt:lpstr>布草间</vt:lpstr>
      <vt:lpstr>公共洗衣房</vt:lpstr>
      <vt:lpstr>电器</vt:lpstr>
      <vt:lpstr>健身器材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14472</dc:creator>
  <cp:lastModifiedBy>wujiang</cp:lastModifiedBy>
  <dcterms:created xsi:type="dcterms:W3CDTF">2025-03-25T03:23:00Z</dcterms:created>
  <dcterms:modified xsi:type="dcterms:W3CDTF">2025-08-22T02:08:10Z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70C23DCFE6804AF28C9DBCD3A6836E38_13</vt:lpwstr>
  </property>
  <property fmtid="{D5CDD505-2E9C-101B-9397-08002B2CF9AE}" pid="3" name="KSOProductBuildVer">
    <vt:lpwstr>2052-11.8.6.9023</vt:lpwstr>
  </property>
</Properties>
</file>